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Assignments\Mahagenco\MYT FY26-30\MERC Proceedings\Data gaps\Annexure to data gaps (20.11.2024)\DG-I-23\"/>
    </mc:Choice>
  </mc:AlternateContent>
  <xr:revisionPtr revIDLastSave="0" documentId="13_ncr:1_{9F3CE904-7DCE-49F0-AE7D-EA6EAFECA3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16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[1]CE!#REF!</definedName>
    <definedName name="__123Graph_A" hidden="1">[1]CE!#REF!</definedName>
    <definedName name="__123Graph_ASTNPLF" localSheetId="0" hidden="1">[1]CE!#REF!</definedName>
    <definedName name="__123Graph_ASTNPLF" hidden="1">[1]CE!#REF!</definedName>
    <definedName name="__123Graph_B" localSheetId="0" hidden="1">[1]CE!#REF!</definedName>
    <definedName name="__123Graph_B" hidden="1">[1]CE!#REF!</definedName>
    <definedName name="__123Graph_BSTNPLF" localSheetId="0" hidden="1">[1]CE!#REF!</definedName>
    <definedName name="__123Graph_BSTNPLF" hidden="1">[1]CE!#REF!</definedName>
    <definedName name="__123Graph_C" localSheetId="0" hidden="1">[1]CE!#REF!</definedName>
    <definedName name="__123Graph_C" hidden="1">[1]CE!#REF!</definedName>
    <definedName name="__123Graph_CSTNPLF" localSheetId="0" hidden="1">[1]CE!#REF!</definedName>
    <definedName name="__123Graph_CSTNPLF" hidden="1">[1]CE!#REF!</definedName>
    <definedName name="__123Graph_X" localSheetId="0" hidden="1">[1]CE!#REF!</definedName>
    <definedName name="__123Graph_X" hidden="1">[1]CE!#REF!</definedName>
    <definedName name="__123Graph_XSTNPLF" localSheetId="0" hidden="1">[1]CE!#REF!</definedName>
    <definedName name="__123Graph_XSTNPLF" hidden="1">[1]CE!#REF!</definedName>
    <definedName name="_Fill" localSheetId="0" hidden="1">#REF!</definedName>
    <definedName name="_Fill" hidden="1">#REF!</definedName>
    <definedName name="_Order1" hidden="1">255</definedName>
    <definedName name="new" localSheetId="0" hidden="1">[2]CE!#REF!</definedName>
    <definedName name="new" hidden="1">[2]CE!#REF!</definedName>
    <definedName name="_xlnm.Print_Area" localSheetId="0">'F16'!$A$1:$J$78</definedName>
    <definedName name="xxxx" localSheetId="0" hidden="1">[3]CE!#REF!</definedName>
    <definedName name="xxxx" hidden="1">[3]CE!#REF!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" i="1" l="1"/>
  <c r="O71" i="1" s="1"/>
  <c r="D71" i="1" s="1"/>
  <c r="G71" i="1" s="1"/>
  <c r="E71" i="1"/>
  <c r="F71" i="1" s="1"/>
  <c r="O70" i="1"/>
  <c r="M68" i="1" l="1"/>
  <c r="M67" i="1"/>
  <c r="M66" i="1"/>
  <c r="M65" i="1"/>
  <c r="M52" i="1"/>
  <c r="M51" i="1"/>
  <c r="M53" i="1"/>
  <c r="M50" i="1"/>
  <c r="M49" i="1"/>
  <c r="N52" i="1"/>
  <c r="N51" i="1"/>
  <c r="N50" i="1"/>
  <c r="N53" i="1"/>
  <c r="N49" i="1"/>
  <c r="M33" i="1" l="1"/>
  <c r="M32" i="1"/>
  <c r="M31" i="1"/>
  <c r="M30" i="1"/>
  <c r="M19" i="1"/>
  <c r="M18" i="1"/>
  <c r="M20" i="1"/>
  <c r="M17" i="1"/>
  <c r="M21" i="1"/>
  <c r="M16" i="1"/>
  <c r="M15" i="1"/>
  <c r="N19" i="1"/>
  <c r="N16" i="1"/>
  <c r="N20" i="1"/>
  <c r="N21" i="1"/>
  <c r="N18" i="1"/>
  <c r="N17" i="1"/>
  <c r="N15" i="1"/>
  <c r="M107" i="1" l="1"/>
  <c r="M106" i="1"/>
  <c r="M105" i="1"/>
  <c r="M104" i="1"/>
  <c r="M103" i="1"/>
  <c r="O107" i="1" l="1"/>
  <c r="O106" i="1"/>
  <c r="O105" i="1"/>
  <c r="O104" i="1"/>
  <c r="M110" i="1"/>
  <c r="O110" i="1" s="1"/>
  <c r="M93" i="1"/>
  <c r="M92" i="1"/>
  <c r="M94" i="1"/>
  <c r="M91" i="1"/>
  <c r="M95" i="1"/>
  <c r="M90" i="1"/>
  <c r="M89" i="1"/>
  <c r="N92" i="1"/>
  <c r="N93" i="1"/>
  <c r="N90" i="1"/>
  <c r="N94" i="1"/>
  <c r="N95" i="1"/>
  <c r="N91" i="1"/>
  <c r="N89" i="1"/>
  <c r="O103" i="1" l="1"/>
  <c r="N96" i="1" l="1"/>
  <c r="O95" i="1"/>
  <c r="O94" i="1"/>
  <c r="O93" i="1"/>
  <c r="O92" i="1"/>
  <c r="O91" i="1"/>
  <c r="O90" i="1"/>
  <c r="M96" i="1"/>
  <c r="O69" i="1"/>
  <c r="O68" i="1"/>
  <c r="D68" i="1" s="1"/>
  <c r="O67" i="1"/>
  <c r="D67" i="1" s="1"/>
  <c r="G67" i="1" s="1"/>
  <c r="O66" i="1"/>
  <c r="D66" i="1" s="1"/>
  <c r="G66" i="1" s="1"/>
  <c r="O65" i="1"/>
  <c r="D65" i="1" s="1"/>
  <c r="G65" i="1" s="1"/>
  <c r="E68" i="1"/>
  <c r="F68" i="1" s="1"/>
  <c r="E67" i="1"/>
  <c r="F67" i="1" s="1"/>
  <c r="E66" i="1"/>
  <c r="F66" i="1" s="1"/>
  <c r="E65" i="1"/>
  <c r="F65" i="1" s="1"/>
  <c r="O89" i="1" l="1"/>
  <c r="G68" i="1"/>
  <c r="M72" i="1"/>
  <c r="O72" i="1" s="1"/>
  <c r="O96" i="1" l="1"/>
  <c r="O55" i="1" l="1"/>
  <c r="O54" i="1"/>
  <c r="O53" i="1"/>
  <c r="D53" i="1" s="1"/>
  <c r="G53" i="1" s="1"/>
  <c r="E53" i="1"/>
  <c r="F53" i="1" s="1"/>
  <c r="N56" i="1"/>
  <c r="E52" i="1"/>
  <c r="F52" i="1" s="1"/>
  <c r="O51" i="1"/>
  <c r="D51" i="1" s="1"/>
  <c r="G51" i="1" s="1"/>
  <c r="E51" i="1"/>
  <c r="F51" i="1" s="1"/>
  <c r="O50" i="1"/>
  <c r="D50" i="1" s="1"/>
  <c r="G50" i="1" s="1"/>
  <c r="E50" i="1"/>
  <c r="F50" i="1" s="1"/>
  <c r="M56" i="1"/>
  <c r="E49" i="1"/>
  <c r="F49" i="1" s="1"/>
  <c r="O52" i="1" l="1"/>
  <c r="D52" i="1" s="1"/>
  <c r="G52" i="1" s="1"/>
  <c r="O49" i="1"/>
  <c r="D49" i="1" l="1"/>
  <c r="G49" i="1" s="1"/>
  <c r="O56" i="1"/>
  <c r="O33" i="1" l="1"/>
  <c r="D33" i="1" s="1"/>
  <c r="G33" i="1" s="1"/>
  <c r="O31" i="1"/>
  <c r="D31" i="1" s="1"/>
  <c r="G31" i="1" s="1"/>
  <c r="O36" i="1"/>
  <c r="O32" i="1"/>
  <c r="D32" i="1" s="1"/>
  <c r="G32" i="1" s="1"/>
  <c r="E33" i="1"/>
  <c r="F33" i="1" s="1"/>
  <c r="E32" i="1"/>
  <c r="F32" i="1" s="1"/>
  <c r="E31" i="1"/>
  <c r="F31" i="1" s="1"/>
  <c r="E30" i="1"/>
  <c r="F30" i="1" s="1"/>
  <c r="M35" i="1" l="1"/>
  <c r="O35" i="1" s="1"/>
  <c r="O30" i="1"/>
  <c r="D30" i="1" s="1"/>
  <c r="G30" i="1" s="1"/>
  <c r="O21" i="1"/>
  <c r="D21" i="1" s="1"/>
  <c r="G21" i="1" s="1"/>
  <c r="E21" i="1"/>
  <c r="F21" i="1" s="1"/>
  <c r="E20" i="1"/>
  <c r="F20" i="1" s="1"/>
  <c r="E19" i="1"/>
  <c r="F19" i="1" s="1"/>
  <c r="E18" i="1"/>
  <c r="F18" i="1" s="1"/>
  <c r="E17" i="1"/>
  <c r="F17" i="1" s="1"/>
  <c r="O16" i="1"/>
  <c r="D16" i="1" s="1"/>
  <c r="G16" i="1" s="1"/>
  <c r="E16" i="1"/>
  <c r="F16" i="1" s="1"/>
  <c r="E15" i="1"/>
  <c r="F15" i="1" s="1"/>
  <c r="O15" i="1"/>
  <c r="D15" i="1" s="1"/>
  <c r="G15" i="1" s="1"/>
  <c r="N22" i="1" l="1"/>
  <c r="O18" i="1"/>
  <c r="D18" i="1" s="1"/>
  <c r="G18" i="1" s="1"/>
  <c r="O19" i="1"/>
  <c r="D19" i="1" s="1"/>
  <c r="G19" i="1" s="1"/>
  <c r="O17" i="1"/>
  <c r="D17" i="1" s="1"/>
  <c r="G17" i="1" s="1"/>
  <c r="M22" i="1"/>
  <c r="O20" i="1"/>
  <c r="D20" i="1" s="1"/>
  <c r="G20" i="1" s="1"/>
  <c r="E3" i="1"/>
  <c r="E2" i="1"/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Rajendra Varpe</author>
    <author>MSPGCL-Loan Sec.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Rajendra Varpe:</t>
        </r>
        <r>
          <rPr>
            <sz val="9"/>
            <color indexed="81"/>
            <rFont val="Tahoma"/>
            <family val="2"/>
          </rPr>
          <t xml:space="preserve">
Exchange loss added as per IND AS-23 requirement</t>
        </r>
      </text>
    </comment>
    <comment ref="M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Rajendra Varpe:</t>
        </r>
        <r>
          <rPr>
            <sz val="9"/>
            <color indexed="81"/>
            <rFont val="Tahoma"/>
            <family val="2"/>
          </rPr>
          <t xml:space="preserve">
Exchange loss added as per IND AS-23 requirement</t>
        </r>
      </text>
    </comment>
    <comment ref="N1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MSPGCL-Loan Sec.:</t>
        </r>
        <r>
          <rPr>
            <sz val="9"/>
            <color indexed="81"/>
            <rFont val="Tahoma"/>
            <family val="2"/>
          </rPr>
          <t xml:space="preserve">
Loss on exchange rate Rs. 27,93,00,361 deducted from repayment</t>
        </r>
      </text>
    </comment>
    <comment ref="M5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Rajendra Varpe:</t>
        </r>
        <r>
          <rPr>
            <sz val="9"/>
            <color indexed="81"/>
            <rFont val="Tahoma"/>
            <family val="2"/>
          </rPr>
          <t xml:space="preserve">
Exchange loss adjusted as per IND AS-23 requirement</t>
        </r>
      </text>
    </comment>
    <comment ref="M5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Rajendra Varpe:</t>
        </r>
        <r>
          <rPr>
            <sz val="9"/>
            <color indexed="81"/>
            <rFont val="Tahoma"/>
            <family val="2"/>
          </rPr>
          <t xml:space="preserve">
Exchange gain adjusted as per IND AS-23 requirement</t>
        </r>
      </text>
    </comment>
    <comment ref="M9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Rajendra Varpe:</t>
        </r>
        <r>
          <rPr>
            <sz val="9"/>
            <color indexed="81"/>
            <rFont val="Tahoma"/>
            <family val="2"/>
          </rPr>
          <t xml:space="preserve">
Exchange loss adjusted as per IND AS-23 requirement</t>
        </r>
      </text>
    </comment>
    <comment ref="M9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Rajendra Varpe:</t>
        </r>
        <r>
          <rPr>
            <sz val="9"/>
            <color indexed="81"/>
            <rFont val="Tahoma"/>
            <family val="2"/>
          </rPr>
          <t xml:space="preserve">
Exchange gain adjusted as per IND AS-23 requirement</t>
        </r>
      </text>
    </comment>
  </commentList>
</comments>
</file>

<file path=xl/sharedStrings.xml><?xml version="1.0" encoding="utf-8"?>
<sst xmlns="http://schemas.openxmlformats.org/spreadsheetml/2006/main" count="80" uniqueCount="37">
  <si>
    <t>Form 16: Payment Efficiency</t>
  </si>
  <si>
    <t>A) Scheduled and Actual Payment</t>
  </si>
  <si>
    <t>Particulars</t>
  </si>
  <si>
    <t>Schedule Payment</t>
  </si>
  <si>
    <t>Payment made</t>
  </si>
  <si>
    <t>Delay in payment (days)</t>
  </si>
  <si>
    <t>Amount Pending (Rs. Crore)</t>
  </si>
  <si>
    <t>Month/Date</t>
  </si>
  <si>
    <t>Amount (Rs. Crore)</t>
  </si>
  <si>
    <t>Due date</t>
  </si>
  <si>
    <t>Month/ Date</t>
  </si>
  <si>
    <t>% of Amount paid</t>
  </si>
  <si>
    <t>Scheduled Payment against Long Term Loans</t>
  </si>
  <si>
    <t>... ... ...</t>
  </si>
  <si>
    <t>Total</t>
  </si>
  <si>
    <t>Scheduled Payment against Short Term Loans</t>
  </si>
  <si>
    <t>Long Term Loan 1 - REC</t>
  </si>
  <si>
    <t>Interest</t>
  </si>
  <si>
    <t>Principal</t>
  </si>
  <si>
    <t>Long Term Loan 2 - PFC</t>
  </si>
  <si>
    <t>Long Term Loan 3 - Hudco</t>
  </si>
  <si>
    <t>Long Term Loan 4 - KFW</t>
  </si>
  <si>
    <t>Long Term Loan 5 - World Bank</t>
  </si>
  <si>
    <t>Long Term Loan 6 - SBI Khaparkheda Project</t>
  </si>
  <si>
    <t>Long Term Loan 7 - South Indian Bank</t>
  </si>
  <si>
    <t>Year : FY 2022-23</t>
  </si>
  <si>
    <t>Year : FY 2023-24</t>
  </si>
  <si>
    <t>Mahagenco</t>
  </si>
  <si>
    <t>Short Term Loan 1 - Bank of Maharashtra</t>
  </si>
  <si>
    <t>Short Term Loan 2 - MSC bank</t>
  </si>
  <si>
    <t>Short Term Loan 3 - Bank of Baroda</t>
  </si>
  <si>
    <t>Short Term Loan 4 - Gadchiroli Bank</t>
  </si>
  <si>
    <t>Long Term Loan 3 - KFW</t>
  </si>
  <si>
    <t>Long Term Loan 4 - World Bank</t>
  </si>
  <si>
    <t>Long Term Loan 5 - SBI Khaparkheda Project</t>
  </si>
  <si>
    <t>Medium Term Loan</t>
  </si>
  <si>
    <t>Canara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</si>
</sst>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43" fontId="4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Continuous" vertical="center"/>
    </xf>
    <xf numFmtId="0" fontId="2" fillId="0" borderId="0" xfId="1" applyFont="1">
      <alignment vertical="center"/>
    </xf>
    <xf numFmtId="0" fontId="2" fillId="0" borderId="0" xfId="2" applyFont="1"/>
    <xf numFmtId="0" fontId="3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2" fillId="0" borderId="0" xfId="3" applyFont="1">
      <alignment vertical="center"/>
    </xf>
    <xf numFmtId="0" fontId="3" fillId="0" borderId="0" xfId="3" applyFont="1">
      <alignment vertical="center"/>
    </xf>
    <xf numFmtId="0" fontId="3" fillId="2" borderId="1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5" xfId="3" applyFont="1" applyBorder="1">
      <alignment vertical="center"/>
    </xf>
    <xf numFmtId="0" fontId="2" fillId="0" borderId="5" xfId="3" applyFont="1" applyBorder="1" applyAlignment="1">
      <alignment horizontal="center" vertical="center"/>
    </xf>
    <xf numFmtId="0" fontId="2" fillId="0" borderId="5" xfId="3" applyFont="1" applyBorder="1">
      <alignment vertical="center"/>
    </xf>
    <xf numFmtId="14" fontId="2" fillId="0" borderId="5" xfId="3" applyNumberFormat="1" applyFont="1" applyBorder="1" applyAlignment="1">
      <alignment horizontal="center" vertical="center"/>
    </xf>
    <xf numFmtId="43" fontId="2" fillId="0" borderId="0" xfId="5" applyFont="1" applyAlignment="1">
      <alignment vertical="center"/>
    </xf>
    <xf numFmtId="43" fontId="2" fillId="0" borderId="0" xfId="5" applyNumberFormat="1" applyFont="1" applyAlignment="1">
      <alignment vertical="center"/>
    </xf>
    <xf numFmtId="43" fontId="2" fillId="0" borderId="0" xfId="5" applyNumberFormat="1" applyFont="1" applyAlignment="1">
      <alignment vertical="top"/>
    </xf>
    <xf numFmtId="43" fontId="2" fillId="0" borderId="0" xfId="5" applyNumberFormat="1" applyFont="1"/>
    <xf numFmtId="43" fontId="3" fillId="0" borderId="0" xfId="5" applyNumberFormat="1" applyFont="1"/>
    <xf numFmtId="43" fontId="2" fillId="0" borderId="5" xfId="3" applyNumberFormat="1" applyFont="1" applyBorder="1" applyAlignment="1">
      <alignment horizontal="center" vertical="center"/>
    </xf>
    <xf numFmtId="9" fontId="2" fillId="0" borderId="5" xfId="3" applyNumberFormat="1" applyFont="1" applyBorder="1" applyAlignment="1">
      <alignment horizontal="center" vertical="center"/>
    </xf>
    <xf numFmtId="165" fontId="1" fillId="0" borderId="0" xfId="5" applyNumberFormat="1" applyFont="1" applyFill="1"/>
    <xf numFmtId="165" fontId="1" fillId="0" borderId="8" xfId="5" applyNumberFormat="1" applyFont="1" applyFill="1" applyBorder="1"/>
    <xf numFmtId="165" fontId="1" fillId="0" borderId="7" xfId="5" applyNumberFormat="1" applyFont="1" applyFill="1" applyBorder="1"/>
    <xf numFmtId="43" fontId="2" fillId="0" borderId="0" xfId="5" applyNumberFormat="1" applyFont="1" applyBorder="1"/>
    <xf numFmtId="43" fontId="3" fillId="0" borderId="0" xfId="5" applyNumberFormat="1" applyFont="1" applyBorder="1"/>
    <xf numFmtId="43" fontId="2" fillId="0" borderId="9" xfId="5" applyNumberFormat="1" applyFont="1" applyBorder="1"/>
    <xf numFmtId="43" fontId="3" fillId="0" borderId="9" xfId="5" applyNumberFormat="1" applyFont="1" applyBorder="1"/>
    <xf numFmtId="165" fontId="1" fillId="0" borderId="0" xfId="5" applyNumberFormat="1" applyFont="1" applyFill="1" applyBorder="1"/>
    <xf numFmtId="164" fontId="1" fillId="0" borderId="0" xfId="5" applyNumberFormat="1" applyFont="1" applyFill="1"/>
    <xf numFmtId="43" fontId="1" fillId="0" borderId="0" xfId="5" applyFont="1" applyFill="1"/>
    <xf numFmtId="43" fontId="1" fillId="0" borderId="0" xfId="5" applyFont="1" applyFill="1" applyAlignment="1">
      <alignment vertical="center"/>
    </xf>
    <xf numFmtId="0" fontId="2" fillId="0" borderId="5" xfId="3" applyFont="1" applyFill="1" applyBorder="1">
      <alignment vertical="center"/>
    </xf>
    <xf numFmtId="14" fontId="2" fillId="0" borderId="5" xfId="3" applyNumberFormat="1" applyFont="1" applyFill="1" applyBorder="1" applyAlignment="1">
      <alignment horizontal="center" vertical="center"/>
    </xf>
    <xf numFmtId="43" fontId="2" fillId="0" borderId="5" xfId="3" applyNumberFormat="1" applyFont="1" applyFill="1" applyBorder="1" applyAlignment="1">
      <alignment horizontal="center" vertical="center"/>
    </xf>
    <xf numFmtId="9" fontId="2" fillId="0" borderId="5" xfId="3" applyNumberFormat="1" applyFont="1" applyFill="1" applyBorder="1" applyAlignment="1">
      <alignment horizontal="center" vertical="center"/>
    </xf>
    <xf numFmtId="164" fontId="1" fillId="0" borderId="7" xfId="5" quotePrefix="1" applyNumberFormat="1" applyFont="1" applyFill="1" applyBorder="1"/>
    <xf numFmtId="164" fontId="1" fillId="0" borderId="8" xfId="5" applyNumberFormat="1" applyFont="1" applyFill="1" applyBorder="1"/>
    <xf numFmtId="164" fontId="1" fillId="0" borderId="6" xfId="5" applyNumberFormat="1" applyFont="1" applyFill="1" applyBorder="1"/>
    <xf numFmtId="0" fontId="3" fillId="0" borderId="0" xfId="2" applyFont="1" applyFill="1"/>
    <xf numFmtId="43" fontId="2" fillId="0" borderId="0" xfId="5" applyNumberFormat="1" applyFont="1" applyFill="1"/>
    <xf numFmtId="0" fontId="2" fillId="0" borderId="0" xfId="2" applyFont="1" applyFill="1"/>
    <xf numFmtId="43" fontId="2" fillId="0" borderId="0" xfId="5" applyNumberFormat="1" applyFont="1" applyFill="1" applyBorder="1"/>
    <xf numFmtId="43" fontId="3" fillId="0" borderId="0" xfId="5" applyNumberFormat="1" applyFont="1" applyFill="1" applyBorder="1"/>
    <xf numFmtId="43" fontId="2" fillId="0" borderId="9" xfId="5" applyNumberFormat="1" applyFont="1" applyFill="1" applyBorder="1"/>
    <xf numFmtId="43" fontId="3" fillId="0" borderId="9" xfId="5" applyNumberFormat="1" applyFont="1" applyFill="1" applyBorder="1"/>
    <xf numFmtId="0" fontId="2" fillId="0" borderId="0" xfId="3" applyFont="1" applyFill="1">
      <alignment vertical="center"/>
    </xf>
    <xf numFmtId="0" fontId="3" fillId="0" borderId="0" xfId="3" applyFont="1" applyFill="1">
      <alignment vertical="center"/>
    </xf>
    <xf numFmtId="43" fontId="2" fillId="0" borderId="0" xfId="5" applyFont="1" applyFill="1" applyAlignment="1">
      <alignment vertical="center"/>
    </xf>
    <xf numFmtId="0" fontId="3" fillId="0" borderId="5" xfId="3" applyFont="1" applyFill="1" applyBorder="1">
      <alignment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left" vertical="center"/>
    </xf>
  </cellXfs>
  <cellStyles count="6">
    <cellStyle name="Comma" xfId="5" builtinId="3"/>
    <cellStyle name="Normal" xfId="0" builtinId="0"/>
    <cellStyle name="Normal 2" xfId="2" xr:uid="{00000000-0005-0000-0000-000002000000}"/>
    <cellStyle name="Normal 2 2 2" xfId="4" xr:uid="{00000000-0005-0000-0000-000003000000}"/>
    <cellStyle name="Normal_FORMATS 5 YEAR ALOKE 2" xfId="1" xr:uid="{00000000-0005-0000-0000-000004000000}"/>
    <cellStyle name="Normal_FORMATS 5 YEAR ALOKE 2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10504\OneDrive%20-%20Maharashtra%20State%20Power%20Generation%20Co.%20Ltd\File%2074%20MTR%20FY22-23\For%20Filing%20on%2001.11.2022\To%20MERC\10.%20Khaperkheda%20Unit%205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  <sheetName val="Inputs &amp; Assumptions"/>
      <sheetName val="Daily_input"/>
      <sheetName val="Daily_report"/>
      <sheetName val="Title"/>
      <sheetName val="CAPI_01-0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FC Reduction"/>
      <sheetName val="F1"/>
      <sheetName val="F1.1"/>
      <sheetName val="F2.1"/>
      <sheetName val="F2.2"/>
      <sheetName val="F2.3"/>
      <sheetName val="F2.4"/>
      <sheetName val="F2.5"/>
      <sheetName val="F2.6"/>
      <sheetName val="F2.7"/>
      <sheetName val="F2.8"/>
      <sheetName val="F13"/>
      <sheetName val="F3"/>
      <sheetName val="F3.1"/>
      <sheetName val="F3.2"/>
      <sheetName val="F3.3"/>
      <sheetName val="F3.4"/>
      <sheetName val="F4"/>
      <sheetName val="F4.1"/>
      <sheetName val="F4.2"/>
      <sheetName val="F4.3"/>
      <sheetName val="F5"/>
      <sheetName val="F6"/>
      <sheetName val="F7"/>
      <sheetName val="F8"/>
      <sheetName val="F9"/>
      <sheetName val="F9.1"/>
      <sheetName val="F9.2"/>
      <sheetName val="F9.3"/>
      <sheetName val="F10"/>
      <sheetName val="F11"/>
      <sheetName val="F12"/>
      <sheetName val="F14"/>
      <sheetName val="F15"/>
      <sheetName val="F16"/>
    </sheetNames>
    <sheetDataSet>
      <sheetData sheetId="0">
        <row r="2">
          <cell r="B2" t="str">
            <v xml:space="preserve">      Maharashtra State Power Generation Company Ltd.</v>
          </cell>
        </row>
        <row r="3">
          <cell r="B3" t="str">
            <v>MYT Petition Formats for Khaperkheda Unit 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U143"/>
  <sheetViews>
    <sheetView showGridLines="0" tabSelected="1" view="pageBreakPreview" zoomScale="75" zoomScaleNormal="75" zoomScaleSheetLayoutView="75" workbookViewId="0">
      <selection activeCell="B23" sqref="B23"/>
    </sheetView>
  </sheetViews>
  <sheetFormatPr defaultColWidth="9.453125" defaultRowHeight="14" x14ac:dyDescent="0.35"/>
  <cols>
    <col min="1" max="1" width="6.54296875" style="4" customWidth="1"/>
    <col min="2" max="2" width="41.453125" style="1" bestFit="1" customWidth="1"/>
    <col min="3" max="3" width="18.453125" style="4" customWidth="1"/>
    <col min="4" max="4" width="12" style="4" customWidth="1"/>
    <col min="5" max="5" width="11.54296875" style="4" customWidth="1"/>
    <col min="6" max="6" width="12.7265625" style="4" customWidth="1"/>
    <col min="7" max="7" width="14.453125" style="4" customWidth="1"/>
    <col min="8" max="8" width="13.54296875" style="4" customWidth="1"/>
    <col min="9" max="9" width="16" style="4" customWidth="1"/>
    <col min="10" max="10" width="14.453125" style="4" customWidth="1"/>
    <col min="11" max="11" width="11.54296875" style="4" hidden="1" customWidth="1"/>
    <col min="12" max="12" width="11" style="4" hidden="1" customWidth="1"/>
    <col min="13" max="13" width="13.54296875" style="24" customWidth="1"/>
    <col min="14" max="14" width="16" style="24" customWidth="1"/>
    <col min="15" max="15" width="9.453125" style="24"/>
    <col min="16" max="16384" width="9.453125" style="4"/>
  </cols>
  <sheetData>
    <row r="2" spans="2:15" x14ac:dyDescent="0.35">
      <c r="C2" s="2"/>
      <c r="D2" s="2"/>
      <c r="E2" s="3" t="str">
        <f>[4]Index!B2</f>
        <v xml:space="preserve">      Maharashtra State Power Generation Company Ltd.</v>
      </c>
      <c r="F2" s="2"/>
      <c r="G2" s="2"/>
      <c r="H2" s="2"/>
      <c r="I2" s="2"/>
    </row>
    <row r="3" spans="2:15" s="5" customFormat="1" x14ac:dyDescent="0.3">
      <c r="B3" s="5" t="s">
        <v>27</v>
      </c>
      <c r="C3" s="6"/>
      <c r="D3" s="6"/>
      <c r="E3" s="3" t="str">
        <f>[4]Index!B3</f>
        <v>MYT Petition Formats for Khaperkheda Unit 5</v>
      </c>
      <c r="F3" s="6"/>
      <c r="G3" s="6"/>
      <c r="H3" s="6"/>
      <c r="I3" s="6"/>
      <c r="J3" s="7"/>
      <c r="K3" s="7"/>
      <c r="L3" s="7"/>
      <c r="M3" s="25"/>
      <c r="N3" s="26"/>
      <c r="O3" s="26"/>
    </row>
    <row r="4" spans="2:15" s="5" customFormat="1" x14ac:dyDescent="0.3">
      <c r="C4" s="8"/>
      <c r="D4" s="8"/>
      <c r="E4" s="9" t="s">
        <v>0</v>
      </c>
      <c r="F4" s="8"/>
      <c r="G4" s="8"/>
      <c r="H4" s="8"/>
      <c r="I4" s="8"/>
      <c r="J4" s="8"/>
      <c r="K4" s="8"/>
      <c r="L4" s="8"/>
      <c r="M4" s="27"/>
      <c r="N4" s="27"/>
      <c r="O4" s="26"/>
    </row>
    <row r="5" spans="2:15" s="5" customFormat="1" x14ac:dyDescent="0.3">
      <c r="B5" s="9"/>
      <c r="C5" s="9"/>
      <c r="D5" s="9"/>
      <c r="E5" s="9"/>
      <c r="F5" s="9"/>
      <c r="G5" s="9"/>
      <c r="H5" s="9"/>
      <c r="I5" s="9"/>
      <c r="J5" s="8"/>
      <c r="K5" s="8"/>
      <c r="L5" s="8"/>
      <c r="M5" s="27"/>
      <c r="N5" s="27"/>
      <c r="O5" s="26"/>
    </row>
    <row r="6" spans="2:15" s="5" customFormat="1" x14ac:dyDescent="0.3">
      <c r="B6" s="65" t="s">
        <v>25</v>
      </c>
      <c r="C6" s="11"/>
      <c r="D6" s="11"/>
      <c r="E6" s="11"/>
      <c r="F6" s="11"/>
      <c r="G6" s="11"/>
      <c r="H6" s="11"/>
      <c r="I6" s="12"/>
      <c r="J6" s="12"/>
      <c r="K6" s="8"/>
      <c r="L6" s="8"/>
      <c r="M6" s="27"/>
      <c r="N6" s="27"/>
      <c r="O6" s="26"/>
    </row>
    <row r="7" spans="2:15" s="5" customFormat="1" x14ac:dyDescent="0.3">
      <c r="B7" s="10"/>
      <c r="C7" s="11"/>
      <c r="D7" s="11"/>
      <c r="E7" s="11"/>
      <c r="F7" s="11"/>
      <c r="G7" s="11"/>
      <c r="H7" s="11"/>
      <c r="I7" s="12"/>
      <c r="J7" s="12"/>
      <c r="K7" s="8"/>
      <c r="L7" s="8"/>
      <c r="M7" s="27"/>
      <c r="N7" s="27"/>
      <c r="O7" s="26"/>
    </row>
    <row r="8" spans="2:15" s="5" customFormat="1" x14ac:dyDescent="0.3">
      <c r="B8" s="13" t="s">
        <v>1</v>
      </c>
      <c r="C8" s="11"/>
      <c r="D8" s="11"/>
      <c r="E8" s="11"/>
      <c r="F8" s="11"/>
      <c r="G8" s="11"/>
      <c r="H8" s="11"/>
      <c r="I8" s="12"/>
      <c r="J8" s="12"/>
      <c r="K8" s="8"/>
      <c r="L8" s="8"/>
      <c r="M8" s="27"/>
      <c r="N8" s="27"/>
      <c r="O8" s="26"/>
    </row>
    <row r="9" spans="2:15" s="5" customFormat="1" x14ac:dyDescent="0.3">
      <c r="B9" s="12"/>
      <c r="C9" s="12"/>
      <c r="D9" s="12"/>
      <c r="E9" s="12"/>
      <c r="F9" s="12"/>
      <c r="G9" s="12"/>
      <c r="H9" s="12"/>
      <c r="I9" s="12"/>
      <c r="J9" s="12"/>
      <c r="K9" s="8"/>
      <c r="L9" s="8"/>
      <c r="M9" s="27"/>
      <c r="N9" s="27"/>
      <c r="O9" s="26"/>
    </row>
    <row r="10" spans="2:15" s="5" customFormat="1" x14ac:dyDescent="0.3">
      <c r="B10" s="59" t="s">
        <v>2</v>
      </c>
      <c r="C10" s="61" t="s">
        <v>3</v>
      </c>
      <c r="D10" s="62"/>
      <c r="E10" s="63"/>
      <c r="F10" s="61" t="s">
        <v>4</v>
      </c>
      <c r="G10" s="62"/>
      <c r="H10" s="63"/>
      <c r="I10" s="64" t="s">
        <v>5</v>
      </c>
      <c r="J10" s="64" t="s">
        <v>6</v>
      </c>
      <c r="K10" s="8"/>
      <c r="L10" s="8"/>
      <c r="M10" s="27"/>
      <c r="N10" s="27"/>
      <c r="O10" s="26"/>
    </row>
    <row r="11" spans="2:15" s="5" customFormat="1" ht="28" x14ac:dyDescent="0.3">
      <c r="B11" s="60"/>
      <c r="C11" s="14" t="s">
        <v>7</v>
      </c>
      <c r="D11" s="14" t="s">
        <v>8</v>
      </c>
      <c r="E11" s="14" t="s">
        <v>9</v>
      </c>
      <c r="F11" s="14" t="s">
        <v>10</v>
      </c>
      <c r="G11" s="14" t="s">
        <v>8</v>
      </c>
      <c r="H11" s="15" t="s">
        <v>11</v>
      </c>
      <c r="I11" s="64"/>
      <c r="J11" s="64"/>
      <c r="K11" s="8"/>
      <c r="L11" s="8"/>
      <c r="M11" s="27"/>
      <c r="N11" s="27"/>
      <c r="O11" s="26"/>
    </row>
    <row r="12" spans="2:15" s="5" customFormat="1" x14ac:dyDescent="0.3">
      <c r="B12" s="16"/>
      <c r="C12" s="17"/>
      <c r="D12" s="17"/>
      <c r="E12" s="17"/>
      <c r="F12" s="17"/>
      <c r="G12" s="17"/>
      <c r="H12" s="18"/>
      <c r="I12" s="18"/>
      <c r="J12" s="18"/>
      <c r="K12" s="8"/>
      <c r="L12" s="8"/>
      <c r="M12" s="27"/>
      <c r="N12" s="27"/>
      <c r="O12" s="26"/>
    </row>
    <row r="13" spans="2:15" s="5" customFormat="1" x14ac:dyDescent="0.3">
      <c r="B13" s="19" t="s">
        <v>12</v>
      </c>
      <c r="C13" s="20"/>
      <c r="D13" s="20"/>
      <c r="E13" s="20"/>
      <c r="F13" s="20"/>
      <c r="G13" s="20"/>
      <c r="H13" s="20"/>
      <c r="I13" s="21"/>
      <c r="J13" s="21"/>
      <c r="K13" s="8"/>
      <c r="L13" s="8"/>
      <c r="M13" s="27"/>
      <c r="N13" s="27"/>
      <c r="O13" s="26"/>
    </row>
    <row r="14" spans="2:15" s="5" customFormat="1" x14ac:dyDescent="0.3">
      <c r="B14" s="19"/>
      <c r="C14" s="20"/>
      <c r="D14" s="20"/>
      <c r="E14" s="20"/>
      <c r="F14" s="20"/>
      <c r="G14" s="20"/>
      <c r="H14" s="20"/>
      <c r="I14" s="21"/>
      <c r="J14" s="21"/>
      <c r="K14" s="8"/>
      <c r="L14" s="8"/>
      <c r="M14" s="26" t="s">
        <v>17</v>
      </c>
      <c r="N14" s="26" t="s">
        <v>18</v>
      </c>
      <c r="O14" s="26" t="s">
        <v>14</v>
      </c>
    </row>
    <row r="15" spans="2:15" s="5" customFormat="1" x14ac:dyDescent="0.3">
      <c r="B15" s="41" t="s">
        <v>16</v>
      </c>
      <c r="C15" s="42">
        <v>45016</v>
      </c>
      <c r="D15" s="43">
        <f t="shared" ref="D15:D21" si="0">O15</f>
        <v>3655.2750354816299</v>
      </c>
      <c r="E15" s="42">
        <f t="shared" ref="E15:E21" si="1">C15</f>
        <v>45016</v>
      </c>
      <c r="F15" s="42">
        <f t="shared" ref="F15:F21" si="2">E15</f>
        <v>45016</v>
      </c>
      <c r="G15" s="43">
        <f t="shared" ref="G15:G21" si="3">D15</f>
        <v>3655.2750354816299</v>
      </c>
      <c r="H15" s="44">
        <v>1</v>
      </c>
      <c r="I15" s="21"/>
      <c r="J15" s="21"/>
      <c r="K15" s="8"/>
      <c r="L15" s="8"/>
      <c r="M15" s="26">
        <f>13284586265.9063/10000000</f>
        <v>1328.45862659063</v>
      </c>
      <c r="N15" s="26">
        <f>23268164088.91/10000000</f>
        <v>2326.8164088909998</v>
      </c>
      <c r="O15" s="26">
        <f t="shared" ref="O15:O21" si="4">M15+N15</f>
        <v>3655.2750354816299</v>
      </c>
    </row>
    <row r="16" spans="2:15" s="5" customFormat="1" x14ac:dyDescent="0.3">
      <c r="B16" s="41" t="s">
        <v>19</v>
      </c>
      <c r="C16" s="42">
        <v>44941</v>
      </c>
      <c r="D16" s="43">
        <f t="shared" si="0"/>
        <v>2151.6918642943569</v>
      </c>
      <c r="E16" s="42">
        <f t="shared" si="1"/>
        <v>44941</v>
      </c>
      <c r="F16" s="42">
        <f t="shared" si="2"/>
        <v>44941</v>
      </c>
      <c r="G16" s="43">
        <f t="shared" si="3"/>
        <v>2151.6918642943569</v>
      </c>
      <c r="H16" s="44">
        <v>1</v>
      </c>
      <c r="I16" s="21"/>
      <c r="J16" s="21"/>
      <c r="K16" s="8"/>
      <c r="L16" s="8"/>
      <c r="M16" s="33">
        <f>9789074166.94357/10000000</f>
        <v>978.90741669435693</v>
      </c>
      <c r="N16" s="33">
        <f>11727844476/10000000</f>
        <v>1172.7844476</v>
      </c>
      <c r="O16" s="33">
        <f t="shared" si="4"/>
        <v>2151.6918642943569</v>
      </c>
    </row>
    <row r="17" spans="2:15" s="5" customFormat="1" x14ac:dyDescent="0.3">
      <c r="B17" s="41" t="s">
        <v>20</v>
      </c>
      <c r="C17" s="42">
        <v>44985</v>
      </c>
      <c r="D17" s="43">
        <f t="shared" si="0"/>
        <v>1.8337072999999999</v>
      </c>
      <c r="E17" s="42">
        <f t="shared" si="1"/>
        <v>44985</v>
      </c>
      <c r="F17" s="42">
        <f t="shared" si="2"/>
        <v>44985</v>
      </c>
      <c r="G17" s="43">
        <f t="shared" si="3"/>
        <v>1.8337072999999999</v>
      </c>
      <c r="H17" s="44">
        <v>1</v>
      </c>
      <c r="I17" s="21"/>
      <c r="J17" s="21"/>
      <c r="K17" s="8"/>
      <c r="L17" s="8"/>
      <c r="M17" s="33">
        <f>845352/10000000</f>
        <v>8.4535200000000005E-2</v>
      </c>
      <c r="N17" s="33">
        <f>17491721/10000000</f>
        <v>1.7491721</v>
      </c>
      <c r="O17" s="33">
        <f t="shared" si="4"/>
        <v>1.8337072999999999</v>
      </c>
    </row>
    <row r="18" spans="2:15" s="5" customFormat="1" x14ac:dyDescent="0.3">
      <c r="B18" s="41" t="s">
        <v>21</v>
      </c>
      <c r="C18" s="42">
        <v>44926</v>
      </c>
      <c r="D18" s="43">
        <f t="shared" si="0"/>
        <v>143.53914810000001</v>
      </c>
      <c r="E18" s="42">
        <f t="shared" si="1"/>
        <v>44926</v>
      </c>
      <c r="F18" s="42">
        <f t="shared" si="2"/>
        <v>44926</v>
      </c>
      <c r="G18" s="43">
        <f t="shared" si="3"/>
        <v>143.53914810000001</v>
      </c>
      <c r="H18" s="44">
        <v>1</v>
      </c>
      <c r="I18" s="21"/>
      <c r="J18" s="21"/>
      <c r="K18" s="8"/>
      <c r="L18" s="8"/>
      <c r="M18" s="37">
        <f>121845644/10000000</f>
        <v>12.184564399999999</v>
      </c>
      <c r="N18" s="33">
        <f>1313545837/10000000</f>
        <v>131.35458370000001</v>
      </c>
      <c r="O18" s="33">
        <f t="shared" si="4"/>
        <v>143.53914810000001</v>
      </c>
    </row>
    <row r="19" spans="2:15" s="5" customFormat="1" x14ac:dyDescent="0.3">
      <c r="B19" s="41" t="s">
        <v>22</v>
      </c>
      <c r="C19" s="42">
        <v>44910</v>
      </c>
      <c r="D19" s="43">
        <f t="shared" si="0"/>
        <v>39.388005800000002</v>
      </c>
      <c r="E19" s="42">
        <f t="shared" si="1"/>
        <v>44910</v>
      </c>
      <c r="F19" s="42">
        <f t="shared" si="2"/>
        <v>44910</v>
      </c>
      <c r="G19" s="43">
        <f t="shared" si="3"/>
        <v>39.388005800000002</v>
      </c>
      <c r="H19" s="44">
        <v>1</v>
      </c>
      <c r="I19" s="21"/>
      <c r="J19" s="21"/>
      <c r="K19" s="8"/>
      <c r="L19" s="8"/>
      <c r="M19" s="37">
        <f>242224663/10000000</f>
        <v>24.222466300000001</v>
      </c>
      <c r="N19" s="45">
        <f>151655395/10000000</f>
        <v>15.1655395</v>
      </c>
      <c r="O19" s="33">
        <f t="shared" si="4"/>
        <v>39.388005800000002</v>
      </c>
    </row>
    <row r="20" spans="2:15" s="5" customFormat="1" x14ac:dyDescent="0.3">
      <c r="B20" s="41" t="s">
        <v>23</v>
      </c>
      <c r="C20" s="42">
        <v>45016</v>
      </c>
      <c r="D20" s="43">
        <f t="shared" si="0"/>
        <v>270.12228929999998</v>
      </c>
      <c r="E20" s="42">
        <f t="shared" si="1"/>
        <v>45016</v>
      </c>
      <c r="F20" s="42">
        <f t="shared" si="2"/>
        <v>45016</v>
      </c>
      <c r="G20" s="43">
        <f t="shared" si="3"/>
        <v>270.12228929999998</v>
      </c>
      <c r="H20" s="44">
        <v>1</v>
      </c>
      <c r="I20" s="21"/>
      <c r="J20" s="21"/>
      <c r="K20" s="8"/>
      <c r="L20" s="8"/>
      <c r="M20" s="37">
        <f>977711609/10000000</f>
        <v>97.771160899999998</v>
      </c>
      <c r="N20" s="46">
        <f>1723511284/10000000</f>
        <v>172.35112839999999</v>
      </c>
      <c r="O20" s="33">
        <f t="shared" si="4"/>
        <v>270.12228929999998</v>
      </c>
    </row>
    <row r="21" spans="2:15" s="5" customFormat="1" x14ac:dyDescent="0.3">
      <c r="B21" s="41" t="s">
        <v>24</v>
      </c>
      <c r="C21" s="42">
        <v>45016</v>
      </c>
      <c r="D21" s="43">
        <f t="shared" si="0"/>
        <v>3.6820887</v>
      </c>
      <c r="E21" s="42">
        <f t="shared" si="1"/>
        <v>45016</v>
      </c>
      <c r="F21" s="42">
        <f t="shared" si="2"/>
        <v>45016</v>
      </c>
      <c r="G21" s="43">
        <f t="shared" si="3"/>
        <v>3.6820887</v>
      </c>
      <c r="H21" s="44">
        <v>1</v>
      </c>
      <c r="I21" s="21"/>
      <c r="J21" s="21"/>
      <c r="K21" s="8"/>
      <c r="L21" s="8"/>
      <c r="M21" s="33">
        <f>347674/10000000</f>
        <v>3.4767399999999997E-2</v>
      </c>
      <c r="N21" s="47">
        <f>36473213/10000000</f>
        <v>3.6473213000000002</v>
      </c>
      <c r="O21" s="35">
        <f t="shared" si="4"/>
        <v>3.6820887</v>
      </c>
    </row>
    <row r="22" spans="2:15" s="5" customFormat="1" x14ac:dyDescent="0.3">
      <c r="B22" s="21"/>
      <c r="C22" s="22"/>
      <c r="D22" s="28"/>
      <c r="E22" s="22"/>
      <c r="F22" s="22"/>
      <c r="G22" s="28"/>
      <c r="H22" s="29"/>
      <c r="I22" s="21"/>
      <c r="J22" s="21"/>
      <c r="K22" s="8"/>
      <c r="L22" s="8"/>
      <c r="M22" s="27">
        <f>SUM(M15:M21)</f>
        <v>2441.663537484987</v>
      </c>
      <c r="N22" s="27">
        <f t="shared" ref="N22:O22" si="5">SUM(N15:N21)</f>
        <v>3823.8686014909999</v>
      </c>
      <c r="O22" s="27">
        <f t="shared" si="5"/>
        <v>6265.5321389759883</v>
      </c>
    </row>
    <row r="23" spans="2:15" s="5" customFormat="1" x14ac:dyDescent="0.3">
      <c r="B23" s="21"/>
      <c r="C23" s="22"/>
      <c r="D23" s="28"/>
      <c r="E23" s="22"/>
      <c r="F23" s="22"/>
      <c r="G23" s="28"/>
      <c r="H23" s="29"/>
      <c r="I23" s="21"/>
      <c r="J23" s="21"/>
      <c r="K23" s="8"/>
      <c r="L23" s="8"/>
      <c r="M23" s="27"/>
      <c r="N23" s="27"/>
      <c r="O23" s="26"/>
    </row>
    <row r="24" spans="2:15" s="5" customFormat="1" x14ac:dyDescent="0.3">
      <c r="B24" s="21" t="s">
        <v>13</v>
      </c>
      <c r="C24" s="20"/>
      <c r="D24" s="20"/>
      <c r="E24" s="20"/>
      <c r="F24" s="20"/>
      <c r="G24" s="20"/>
      <c r="H24" s="20"/>
      <c r="I24" s="21"/>
      <c r="J24" s="21"/>
      <c r="K24" s="8"/>
      <c r="L24" s="8"/>
      <c r="M24" s="27"/>
      <c r="N24" s="27"/>
      <c r="O24" s="26"/>
    </row>
    <row r="25" spans="2:15" s="5" customFormat="1" x14ac:dyDescent="0.3">
      <c r="B25" s="19" t="s">
        <v>14</v>
      </c>
      <c r="C25" s="20"/>
      <c r="D25" s="20"/>
      <c r="E25" s="20"/>
      <c r="F25" s="20"/>
      <c r="G25" s="20"/>
      <c r="H25" s="20"/>
      <c r="I25" s="21"/>
      <c r="J25" s="21"/>
      <c r="K25" s="8"/>
      <c r="L25" s="8"/>
      <c r="M25" s="27"/>
      <c r="N25" s="27"/>
      <c r="O25" s="26"/>
    </row>
    <row r="26" spans="2:15" s="5" customFormat="1" x14ac:dyDescent="0.3">
      <c r="B26" s="19"/>
      <c r="C26" s="20"/>
      <c r="D26" s="20"/>
      <c r="E26" s="20"/>
      <c r="F26" s="20"/>
      <c r="G26" s="20"/>
      <c r="H26" s="20"/>
      <c r="I26" s="21"/>
      <c r="J26" s="21"/>
      <c r="K26" s="8"/>
      <c r="L26" s="8"/>
      <c r="M26" s="27"/>
      <c r="N26" s="27"/>
      <c r="O26" s="26"/>
    </row>
    <row r="27" spans="2:15" s="5" customFormat="1" x14ac:dyDescent="0.3">
      <c r="B27" s="19"/>
      <c r="C27" s="20"/>
      <c r="D27" s="20"/>
      <c r="E27" s="20"/>
      <c r="F27" s="20"/>
      <c r="G27" s="20"/>
      <c r="H27" s="20"/>
      <c r="I27" s="21"/>
      <c r="J27" s="21"/>
      <c r="K27" s="8"/>
      <c r="L27" s="8"/>
      <c r="M27" s="27"/>
      <c r="N27" s="27"/>
      <c r="O27" s="26"/>
    </row>
    <row r="28" spans="2:15" s="5" customFormat="1" x14ac:dyDescent="0.3">
      <c r="B28" s="19" t="s">
        <v>15</v>
      </c>
      <c r="C28" s="20"/>
      <c r="D28" s="20"/>
      <c r="E28" s="20"/>
      <c r="F28" s="20"/>
      <c r="G28" s="20"/>
      <c r="H28" s="20"/>
      <c r="I28" s="21"/>
      <c r="J28" s="21"/>
      <c r="K28" s="8"/>
      <c r="L28" s="8"/>
      <c r="M28" s="27"/>
      <c r="N28" s="27"/>
      <c r="O28" s="26"/>
    </row>
    <row r="29" spans="2:15" s="5" customFormat="1" x14ac:dyDescent="0.3">
      <c r="B29" s="21"/>
      <c r="C29" s="20"/>
      <c r="D29" s="20"/>
      <c r="E29" s="20"/>
      <c r="F29" s="20"/>
      <c r="G29" s="20"/>
      <c r="H29" s="20"/>
      <c r="I29" s="21"/>
      <c r="J29" s="21"/>
      <c r="K29" s="8"/>
      <c r="L29" s="8"/>
      <c r="M29" s="26" t="s">
        <v>17</v>
      </c>
      <c r="N29" s="26" t="s">
        <v>18</v>
      </c>
      <c r="O29" s="26" t="s">
        <v>14</v>
      </c>
    </row>
    <row r="30" spans="2:15" s="50" customFormat="1" x14ac:dyDescent="0.3">
      <c r="B30" s="41" t="s">
        <v>28</v>
      </c>
      <c r="C30" s="42">
        <v>45016</v>
      </c>
      <c r="D30" s="43">
        <f t="shared" ref="D30:D33" si="6">O30</f>
        <v>40.7376857</v>
      </c>
      <c r="E30" s="42">
        <f t="shared" ref="E30:E33" si="7">C30</f>
        <v>45016</v>
      </c>
      <c r="F30" s="42">
        <f t="shared" ref="F30:F33" si="8">E30</f>
        <v>45016</v>
      </c>
      <c r="G30" s="43">
        <f t="shared" ref="G30:G33" si="9">D30</f>
        <v>40.7376857</v>
      </c>
      <c r="H30" s="44">
        <v>1</v>
      </c>
      <c r="I30" s="41"/>
      <c r="J30" s="41"/>
      <c r="K30" s="48"/>
      <c r="L30" s="48"/>
      <c r="M30" s="49">
        <f>407376857/10000000</f>
        <v>40.7376857</v>
      </c>
      <c r="N30" s="49"/>
      <c r="O30" s="49">
        <f t="shared" ref="O30:O36" si="10">M30+N30</f>
        <v>40.7376857</v>
      </c>
    </row>
    <row r="31" spans="2:15" s="50" customFormat="1" x14ac:dyDescent="0.3">
      <c r="B31" s="41" t="s">
        <v>29</v>
      </c>
      <c r="C31" s="42">
        <v>45016</v>
      </c>
      <c r="D31" s="43">
        <f t="shared" si="6"/>
        <v>79.251900599999999</v>
      </c>
      <c r="E31" s="42">
        <f t="shared" si="7"/>
        <v>45016</v>
      </c>
      <c r="F31" s="42">
        <f t="shared" si="8"/>
        <v>45016</v>
      </c>
      <c r="G31" s="43">
        <f t="shared" si="9"/>
        <v>79.251900599999999</v>
      </c>
      <c r="H31" s="44">
        <v>1</v>
      </c>
      <c r="I31" s="41"/>
      <c r="J31" s="41"/>
      <c r="K31" s="48"/>
      <c r="L31" s="48"/>
      <c r="M31" s="51">
        <f>792519006/10000000</f>
        <v>79.251900599999999</v>
      </c>
      <c r="N31" s="52"/>
      <c r="O31" s="51">
        <f t="shared" si="10"/>
        <v>79.251900599999999</v>
      </c>
    </row>
    <row r="32" spans="2:15" s="50" customFormat="1" x14ac:dyDescent="0.3">
      <c r="B32" s="41" t="s">
        <v>30</v>
      </c>
      <c r="C32" s="42">
        <v>45016</v>
      </c>
      <c r="D32" s="43">
        <f t="shared" si="6"/>
        <v>273.68601640520501</v>
      </c>
      <c r="E32" s="42">
        <f t="shared" si="7"/>
        <v>45016</v>
      </c>
      <c r="F32" s="42">
        <f t="shared" si="8"/>
        <v>45016</v>
      </c>
      <c r="G32" s="43">
        <f t="shared" si="9"/>
        <v>273.68601640520501</v>
      </c>
      <c r="H32" s="44">
        <v>1</v>
      </c>
      <c r="I32" s="41"/>
      <c r="J32" s="41"/>
      <c r="K32" s="48"/>
      <c r="L32" s="48"/>
      <c r="M32" s="51">
        <f>2736860164.05205/10000000</f>
        <v>273.68601640520501</v>
      </c>
      <c r="N32" s="52"/>
      <c r="O32" s="51">
        <f t="shared" si="10"/>
        <v>273.68601640520501</v>
      </c>
    </row>
    <row r="33" spans="2:21" s="50" customFormat="1" x14ac:dyDescent="0.3">
      <c r="B33" s="41" t="s">
        <v>31</v>
      </c>
      <c r="C33" s="42">
        <v>45016</v>
      </c>
      <c r="D33" s="43">
        <f t="shared" si="6"/>
        <v>16.670901565957799</v>
      </c>
      <c r="E33" s="42">
        <f t="shared" si="7"/>
        <v>45016</v>
      </c>
      <c r="F33" s="42">
        <f t="shared" si="8"/>
        <v>45016</v>
      </c>
      <c r="G33" s="43">
        <f t="shared" si="9"/>
        <v>16.670901565957799</v>
      </c>
      <c r="H33" s="44">
        <v>1</v>
      </c>
      <c r="I33" s="41"/>
      <c r="J33" s="41"/>
      <c r="K33" s="48"/>
      <c r="L33" s="48"/>
      <c r="M33" s="51">
        <f>166709015.659578/10000000</f>
        <v>16.670901565957799</v>
      </c>
      <c r="N33" s="52"/>
      <c r="O33" s="51">
        <f t="shared" si="10"/>
        <v>16.670901565957799</v>
      </c>
    </row>
    <row r="34" spans="2:21" s="50" customFormat="1" x14ac:dyDescent="0.3">
      <c r="B34" s="41"/>
      <c r="C34" s="42"/>
      <c r="D34" s="43"/>
      <c r="E34" s="42"/>
      <c r="F34" s="42"/>
      <c r="G34" s="43"/>
      <c r="H34" s="44"/>
      <c r="I34" s="41"/>
      <c r="J34" s="41"/>
      <c r="K34" s="48"/>
      <c r="L34" s="48"/>
      <c r="M34" s="53"/>
      <c r="N34" s="54"/>
      <c r="O34" s="53"/>
    </row>
    <row r="35" spans="2:21" s="5" customFormat="1" x14ac:dyDescent="0.3">
      <c r="B35" s="21" t="s">
        <v>13</v>
      </c>
      <c r="C35" s="20"/>
      <c r="D35" s="20"/>
      <c r="E35" s="20"/>
      <c r="F35" s="20"/>
      <c r="G35" s="20"/>
      <c r="H35" s="20"/>
      <c r="I35" s="21"/>
      <c r="J35" s="21"/>
      <c r="K35" s="8"/>
      <c r="L35" s="8"/>
      <c r="M35" s="30">
        <f>SUM(M30:M34)</f>
        <v>410.34650427116281</v>
      </c>
      <c r="N35" s="31"/>
      <c r="O35" s="26">
        <f t="shared" si="10"/>
        <v>410.34650427116281</v>
      </c>
    </row>
    <row r="36" spans="2:21" s="5" customFormat="1" x14ac:dyDescent="0.3">
      <c r="B36" s="19" t="s">
        <v>14</v>
      </c>
      <c r="C36" s="20"/>
      <c r="D36" s="20"/>
      <c r="E36" s="20"/>
      <c r="F36" s="20"/>
      <c r="G36" s="20"/>
      <c r="H36" s="20"/>
      <c r="I36" s="21"/>
      <c r="J36" s="21"/>
      <c r="K36" s="8"/>
      <c r="L36" s="8"/>
      <c r="M36" s="27"/>
      <c r="N36" s="32"/>
      <c r="O36" s="26">
        <f t="shared" si="10"/>
        <v>0</v>
      </c>
    </row>
    <row r="37" spans="2:21" s="5" customFormat="1" x14ac:dyDescent="0.3">
      <c r="B37" s="19"/>
      <c r="C37" s="20"/>
      <c r="D37" s="20"/>
      <c r="E37" s="20"/>
      <c r="F37" s="20"/>
      <c r="G37" s="20"/>
      <c r="H37" s="20"/>
      <c r="I37" s="21"/>
      <c r="J37" s="21"/>
      <c r="K37" s="8"/>
      <c r="L37" s="8"/>
      <c r="M37" s="27"/>
      <c r="N37" s="27"/>
      <c r="O37" s="26"/>
    </row>
    <row r="38" spans="2:21" s="5" customFormat="1" x14ac:dyDescent="0.3">
      <c r="B38" s="13"/>
      <c r="C38" s="11"/>
      <c r="D38" s="11"/>
      <c r="E38" s="11"/>
      <c r="F38" s="11"/>
      <c r="G38" s="11"/>
      <c r="H38" s="11"/>
      <c r="I38" s="12"/>
      <c r="J38" s="12"/>
      <c r="K38" s="8"/>
      <c r="L38" s="8"/>
      <c r="M38" s="27"/>
      <c r="N38" s="27"/>
      <c r="O38" s="26"/>
    </row>
    <row r="39" spans="2:21" s="5" customFormat="1" x14ac:dyDescent="0.3">
      <c r="B39" s="9"/>
      <c r="C39" s="9"/>
      <c r="D39" s="9"/>
      <c r="E39" s="9"/>
      <c r="F39" s="9"/>
      <c r="G39" s="9"/>
      <c r="H39" s="9"/>
      <c r="I39" s="9"/>
      <c r="J39" s="8"/>
      <c r="K39" s="8"/>
      <c r="L39" s="8"/>
      <c r="M39" s="27"/>
      <c r="N39" s="27"/>
      <c r="O39" s="26"/>
    </row>
    <row r="40" spans="2:21" s="12" customFormat="1" x14ac:dyDescent="0.35">
      <c r="B40" s="65" t="s">
        <v>26</v>
      </c>
      <c r="C40" s="11"/>
      <c r="D40" s="11"/>
      <c r="E40" s="11"/>
      <c r="F40" s="11"/>
      <c r="G40" s="11"/>
      <c r="H40" s="11"/>
      <c r="M40" s="24"/>
      <c r="N40" s="24"/>
      <c r="O40" s="24"/>
    </row>
    <row r="41" spans="2:21" s="12" customFormat="1" x14ac:dyDescent="0.35">
      <c r="B41" s="10"/>
      <c r="C41" s="11"/>
      <c r="D41" s="11"/>
      <c r="E41" s="11"/>
      <c r="F41" s="11"/>
      <c r="G41" s="11"/>
      <c r="H41" s="11"/>
      <c r="M41" s="24"/>
      <c r="N41" s="24"/>
      <c r="O41" s="24"/>
    </row>
    <row r="42" spans="2:21" s="12" customFormat="1" x14ac:dyDescent="0.35">
      <c r="B42" s="13" t="s">
        <v>1</v>
      </c>
      <c r="C42" s="11"/>
      <c r="D42" s="11"/>
      <c r="E42" s="11"/>
      <c r="F42" s="11"/>
      <c r="G42" s="11"/>
      <c r="H42" s="11"/>
      <c r="M42" s="24"/>
      <c r="N42" s="24"/>
      <c r="O42" s="24"/>
    </row>
    <row r="43" spans="2:21" s="12" customFormat="1" x14ac:dyDescent="0.35">
      <c r="M43" s="24"/>
      <c r="N43" s="24"/>
      <c r="O43" s="24"/>
    </row>
    <row r="44" spans="2:21" s="12" customFormat="1" x14ac:dyDescent="0.35">
      <c r="B44" s="59" t="s">
        <v>2</v>
      </c>
      <c r="C44" s="61" t="s">
        <v>3</v>
      </c>
      <c r="D44" s="62"/>
      <c r="E44" s="63"/>
      <c r="F44" s="61" t="s">
        <v>4</v>
      </c>
      <c r="G44" s="62"/>
      <c r="H44" s="63"/>
      <c r="I44" s="64" t="s">
        <v>5</v>
      </c>
      <c r="J44" s="64" t="s">
        <v>6</v>
      </c>
      <c r="M44" s="24"/>
      <c r="N44" s="24"/>
      <c r="O44" s="24"/>
    </row>
    <row r="45" spans="2:21" s="12" customFormat="1" ht="28" x14ac:dyDescent="0.35">
      <c r="B45" s="60"/>
      <c r="C45" s="14" t="s">
        <v>7</v>
      </c>
      <c r="D45" s="14" t="s">
        <v>8</v>
      </c>
      <c r="E45" s="14" t="s">
        <v>9</v>
      </c>
      <c r="F45" s="14" t="s">
        <v>10</v>
      </c>
      <c r="G45" s="14" t="s">
        <v>8</v>
      </c>
      <c r="H45" s="15" t="s">
        <v>11</v>
      </c>
      <c r="I45" s="64"/>
      <c r="J45" s="64"/>
      <c r="M45" s="24"/>
      <c r="N45" s="24"/>
      <c r="O45" s="24"/>
    </row>
    <row r="46" spans="2:21" s="12" customFormat="1" x14ac:dyDescent="0.35">
      <c r="B46" s="16"/>
      <c r="C46" s="17"/>
      <c r="D46" s="17"/>
      <c r="E46" s="17"/>
      <c r="F46" s="17"/>
      <c r="G46" s="17"/>
      <c r="H46" s="18"/>
      <c r="I46" s="18"/>
      <c r="J46" s="18"/>
      <c r="M46" s="24"/>
      <c r="N46" s="24"/>
      <c r="O46" s="24"/>
    </row>
    <row r="47" spans="2:21" s="13" customFormat="1" x14ac:dyDescent="0.35">
      <c r="B47" s="19" t="s">
        <v>12</v>
      </c>
      <c r="C47" s="20"/>
      <c r="D47" s="20"/>
      <c r="E47" s="20"/>
      <c r="F47" s="20"/>
      <c r="G47" s="20"/>
      <c r="H47" s="20"/>
      <c r="I47" s="21"/>
      <c r="J47" s="21"/>
      <c r="K47" s="12"/>
      <c r="L47" s="12"/>
      <c r="M47" s="24"/>
      <c r="N47" s="24"/>
      <c r="O47" s="24"/>
      <c r="P47" s="12"/>
      <c r="Q47" s="12"/>
      <c r="R47" s="12"/>
      <c r="S47" s="12"/>
      <c r="T47" s="12"/>
      <c r="U47" s="12"/>
    </row>
    <row r="48" spans="2:21" s="13" customFormat="1" x14ac:dyDescent="0.3">
      <c r="B48" s="19"/>
      <c r="C48" s="20"/>
      <c r="D48" s="20"/>
      <c r="E48" s="20"/>
      <c r="F48" s="20"/>
      <c r="G48" s="20"/>
      <c r="H48" s="20"/>
      <c r="I48" s="21"/>
      <c r="J48" s="21"/>
      <c r="K48" s="8"/>
      <c r="L48" s="8"/>
      <c r="M48" s="26" t="s">
        <v>17</v>
      </c>
      <c r="N48" s="26" t="s">
        <v>18</v>
      </c>
      <c r="O48" s="26" t="s">
        <v>14</v>
      </c>
      <c r="P48" s="12"/>
      <c r="Q48" s="12"/>
      <c r="R48" s="12"/>
      <c r="S48" s="12"/>
      <c r="T48" s="12"/>
      <c r="U48" s="12"/>
    </row>
    <row r="49" spans="2:21" s="56" customFormat="1" x14ac:dyDescent="0.3">
      <c r="B49" s="41" t="s">
        <v>16</v>
      </c>
      <c r="C49" s="42">
        <v>45382</v>
      </c>
      <c r="D49" s="43">
        <f t="shared" ref="D49:D53" si="11">O49</f>
        <v>3064.3424392327597</v>
      </c>
      <c r="E49" s="42">
        <f t="shared" ref="E49:E53" si="12">C49</f>
        <v>45382</v>
      </c>
      <c r="F49" s="42">
        <f t="shared" ref="F49:F53" si="13">E49</f>
        <v>45382</v>
      </c>
      <c r="G49" s="43">
        <f t="shared" ref="G49:G53" si="14">D49</f>
        <v>3064.3424392327597</v>
      </c>
      <c r="H49" s="44">
        <v>1</v>
      </c>
      <c r="I49" s="41"/>
      <c r="J49" s="41"/>
      <c r="K49" s="48"/>
      <c r="L49" s="48"/>
      <c r="M49" s="49">
        <f>13643582388.6276/10000000</f>
        <v>1364.3582388627599</v>
      </c>
      <c r="N49" s="49">
        <f>16999842003.7/10000000</f>
        <v>1699.9842003700001</v>
      </c>
      <c r="O49" s="49">
        <f t="shared" ref="O49:O55" si="15">M49+N49</f>
        <v>3064.3424392327597</v>
      </c>
      <c r="P49" s="55"/>
      <c r="Q49" s="55"/>
      <c r="R49" s="55"/>
      <c r="S49" s="55"/>
      <c r="T49" s="55"/>
      <c r="U49" s="55"/>
    </row>
    <row r="50" spans="2:21" s="56" customFormat="1" x14ac:dyDescent="0.3">
      <c r="B50" s="41" t="s">
        <v>19</v>
      </c>
      <c r="C50" s="42">
        <v>45306</v>
      </c>
      <c r="D50" s="43">
        <f t="shared" si="11"/>
        <v>2177.60652519523</v>
      </c>
      <c r="E50" s="42">
        <f t="shared" si="12"/>
        <v>45306</v>
      </c>
      <c r="F50" s="42">
        <f t="shared" si="13"/>
        <v>45306</v>
      </c>
      <c r="G50" s="43">
        <f t="shared" si="14"/>
        <v>2177.60652519523</v>
      </c>
      <c r="H50" s="44">
        <v>1</v>
      </c>
      <c r="I50" s="41"/>
      <c r="J50" s="41"/>
      <c r="K50" s="48"/>
      <c r="L50" s="48"/>
      <c r="M50" s="49">
        <f>10838730676.9523/10000000</f>
        <v>1083.87306769523</v>
      </c>
      <c r="N50" s="49">
        <f>10937334575/10000000</f>
        <v>1093.7334575</v>
      </c>
      <c r="O50" s="51">
        <f t="shared" si="15"/>
        <v>2177.60652519523</v>
      </c>
      <c r="P50" s="55"/>
      <c r="Q50" s="55"/>
      <c r="R50" s="55"/>
      <c r="S50" s="55"/>
      <c r="T50" s="55"/>
      <c r="U50" s="55"/>
    </row>
    <row r="51" spans="2:21" s="56" customFormat="1" x14ac:dyDescent="0.3">
      <c r="B51" s="41" t="s">
        <v>32</v>
      </c>
      <c r="C51" s="42">
        <v>45291</v>
      </c>
      <c r="D51" s="43">
        <f t="shared" si="11"/>
        <v>200.78270209999999</v>
      </c>
      <c r="E51" s="42">
        <f t="shared" si="12"/>
        <v>45291</v>
      </c>
      <c r="F51" s="42">
        <f t="shared" si="13"/>
        <v>45291</v>
      </c>
      <c r="G51" s="43">
        <f t="shared" si="14"/>
        <v>200.78270209999999</v>
      </c>
      <c r="H51" s="44">
        <v>1</v>
      </c>
      <c r="I51" s="41"/>
      <c r="J51" s="41"/>
      <c r="K51" s="48"/>
      <c r="L51" s="48"/>
      <c r="M51" s="38">
        <f>55832496/10000000</f>
        <v>5.5832496000000003</v>
      </c>
      <c r="N51" s="49">
        <f>1951994525/10000000</f>
        <v>195.19945250000001</v>
      </c>
      <c r="O51" s="51">
        <f t="shared" si="15"/>
        <v>200.78270209999999</v>
      </c>
      <c r="P51" s="55"/>
      <c r="Q51" s="55"/>
      <c r="R51" s="55"/>
      <c r="S51" s="55"/>
      <c r="T51" s="55"/>
      <c r="U51" s="55"/>
    </row>
    <row r="52" spans="2:21" s="56" customFormat="1" x14ac:dyDescent="0.3">
      <c r="B52" s="41" t="s">
        <v>33</v>
      </c>
      <c r="C52" s="42">
        <v>45275</v>
      </c>
      <c r="D52" s="43">
        <f t="shared" si="11"/>
        <v>35.914165400000002</v>
      </c>
      <c r="E52" s="42">
        <f t="shared" si="12"/>
        <v>45275</v>
      </c>
      <c r="F52" s="42">
        <f t="shared" si="13"/>
        <v>45275</v>
      </c>
      <c r="G52" s="43">
        <f t="shared" si="14"/>
        <v>35.914165400000002</v>
      </c>
      <c r="H52" s="44">
        <v>1</v>
      </c>
      <c r="I52" s="41"/>
      <c r="J52" s="41"/>
      <c r="K52" s="48"/>
      <c r="L52" s="48"/>
      <c r="M52" s="49">
        <f>203223514/10000000</f>
        <v>20.322351399999999</v>
      </c>
      <c r="N52" s="49">
        <f>155918140/10000000</f>
        <v>15.591813999999999</v>
      </c>
      <c r="O52" s="51">
        <f t="shared" si="15"/>
        <v>35.914165400000002</v>
      </c>
      <c r="P52" s="55"/>
      <c r="Q52" s="55"/>
      <c r="R52" s="55"/>
      <c r="S52" s="55"/>
      <c r="T52" s="55"/>
      <c r="U52" s="55"/>
    </row>
    <row r="53" spans="2:21" s="56" customFormat="1" x14ac:dyDescent="0.3">
      <c r="B53" s="41" t="s">
        <v>34</v>
      </c>
      <c r="C53" s="42">
        <v>45382</v>
      </c>
      <c r="D53" s="43">
        <f t="shared" si="11"/>
        <v>265.61243289999999</v>
      </c>
      <c r="E53" s="42">
        <f t="shared" si="12"/>
        <v>45382</v>
      </c>
      <c r="F53" s="42">
        <f t="shared" si="13"/>
        <v>45382</v>
      </c>
      <c r="G53" s="43">
        <f t="shared" si="14"/>
        <v>265.61243289999999</v>
      </c>
      <c r="H53" s="44">
        <v>1</v>
      </c>
      <c r="I53" s="41"/>
      <c r="J53" s="41"/>
      <c r="K53" s="48"/>
      <c r="L53" s="48"/>
      <c r="M53" s="30">
        <f>932074190/10000000</f>
        <v>93.207419000000002</v>
      </c>
      <c r="N53" s="49">
        <f>1724050139/10000000</f>
        <v>172.4050139</v>
      </c>
      <c r="O53" s="51">
        <f t="shared" si="15"/>
        <v>265.61243289999999</v>
      </c>
      <c r="P53" s="55"/>
      <c r="Q53" s="55"/>
      <c r="R53" s="55"/>
      <c r="S53" s="55"/>
      <c r="T53" s="55"/>
      <c r="U53" s="55"/>
    </row>
    <row r="54" spans="2:21" s="56" customFormat="1" x14ac:dyDescent="0.3">
      <c r="B54" s="41"/>
      <c r="C54" s="42"/>
      <c r="D54" s="43"/>
      <c r="E54" s="42"/>
      <c r="F54" s="42"/>
      <c r="G54" s="43"/>
      <c r="H54" s="44"/>
      <c r="I54" s="41"/>
      <c r="J54" s="41"/>
      <c r="K54" s="48"/>
      <c r="L54" s="48"/>
      <c r="M54" s="30"/>
      <c r="N54" s="49"/>
      <c r="O54" s="51">
        <f t="shared" si="15"/>
        <v>0</v>
      </c>
      <c r="P54" s="55"/>
      <c r="Q54" s="55"/>
      <c r="R54" s="55"/>
      <c r="S54" s="55"/>
      <c r="T54" s="55"/>
      <c r="U54" s="55"/>
    </row>
    <row r="55" spans="2:21" s="56" customFormat="1" x14ac:dyDescent="0.3">
      <c r="B55" s="41"/>
      <c r="C55" s="42"/>
      <c r="D55" s="43"/>
      <c r="E55" s="42"/>
      <c r="F55" s="42"/>
      <c r="G55" s="43"/>
      <c r="H55" s="44"/>
      <c r="I55" s="41"/>
      <c r="J55" s="41"/>
      <c r="K55" s="48"/>
      <c r="L55" s="48"/>
      <c r="M55" s="53"/>
      <c r="N55" s="53"/>
      <c r="O55" s="53">
        <f t="shared" si="15"/>
        <v>0</v>
      </c>
      <c r="P55" s="55"/>
      <c r="Q55" s="55"/>
      <c r="R55" s="55"/>
      <c r="S55" s="55"/>
      <c r="T55" s="55"/>
      <c r="U55" s="55"/>
    </row>
    <row r="56" spans="2:21" s="13" customFormat="1" x14ac:dyDescent="0.3">
      <c r="B56" s="21"/>
      <c r="C56" s="22"/>
      <c r="D56" s="28"/>
      <c r="E56" s="22"/>
      <c r="F56" s="22"/>
      <c r="G56" s="28"/>
      <c r="H56" s="29"/>
      <c r="I56" s="21"/>
      <c r="J56" s="21"/>
      <c r="K56" s="8"/>
      <c r="L56" s="8"/>
      <c r="M56" s="27">
        <f>SUM(M49:M55)</f>
        <v>2567.3443265579899</v>
      </c>
      <c r="N56" s="27">
        <f t="shared" ref="N56" si="16">SUM(N49:N55)</f>
        <v>3176.91393827</v>
      </c>
      <c r="O56" s="27">
        <f t="shared" ref="O56" si="17">SUM(O49:O55)</f>
        <v>5744.2582648279904</v>
      </c>
      <c r="P56" s="12"/>
      <c r="Q56" s="12"/>
      <c r="R56" s="12"/>
      <c r="S56" s="12"/>
      <c r="T56" s="12"/>
      <c r="U56" s="12"/>
    </row>
    <row r="57" spans="2:21" s="13" customFormat="1" x14ac:dyDescent="0.35">
      <c r="B57" s="21"/>
      <c r="C57" s="20"/>
      <c r="D57" s="20"/>
      <c r="E57" s="20"/>
      <c r="F57" s="20"/>
      <c r="G57" s="20"/>
      <c r="H57" s="20"/>
      <c r="I57" s="21"/>
      <c r="J57" s="21"/>
      <c r="K57" s="12"/>
      <c r="L57" s="12"/>
      <c r="M57" s="24"/>
      <c r="N57" s="24"/>
      <c r="O57" s="24"/>
      <c r="P57" s="12"/>
      <c r="Q57" s="12"/>
      <c r="R57" s="12"/>
      <c r="S57" s="12"/>
      <c r="T57" s="12"/>
      <c r="U57" s="12"/>
    </row>
    <row r="58" spans="2:21" s="13" customFormat="1" x14ac:dyDescent="0.35">
      <c r="B58" s="21"/>
      <c r="C58" s="20"/>
      <c r="D58" s="20"/>
      <c r="E58" s="20"/>
      <c r="F58" s="20"/>
      <c r="G58" s="20"/>
      <c r="H58" s="20"/>
      <c r="I58" s="21"/>
      <c r="J58" s="21"/>
      <c r="K58" s="12"/>
      <c r="L58" s="12"/>
      <c r="M58" s="24"/>
      <c r="N58" s="24"/>
      <c r="O58" s="24"/>
      <c r="P58" s="12"/>
      <c r="Q58" s="12"/>
      <c r="R58" s="12"/>
      <c r="S58" s="12"/>
      <c r="T58" s="12"/>
      <c r="U58" s="12"/>
    </row>
    <row r="59" spans="2:21" s="13" customFormat="1" x14ac:dyDescent="0.35">
      <c r="B59" s="21" t="s">
        <v>13</v>
      </c>
      <c r="C59" s="20"/>
      <c r="D59" s="20"/>
      <c r="E59" s="20"/>
      <c r="F59" s="20"/>
      <c r="G59" s="20"/>
      <c r="H59" s="20"/>
      <c r="I59" s="21"/>
      <c r="J59" s="21"/>
      <c r="K59" s="12"/>
      <c r="L59" s="12"/>
      <c r="M59" s="24"/>
      <c r="N59" s="24"/>
      <c r="O59" s="24"/>
      <c r="P59" s="12"/>
      <c r="Q59" s="12"/>
      <c r="R59" s="12"/>
      <c r="S59" s="12"/>
      <c r="T59" s="12"/>
      <c r="U59" s="12"/>
    </row>
    <row r="60" spans="2:21" s="12" customFormat="1" x14ac:dyDescent="0.35">
      <c r="B60" s="19" t="s">
        <v>14</v>
      </c>
      <c r="C60" s="20"/>
      <c r="D60" s="20"/>
      <c r="E60" s="20"/>
      <c r="F60" s="20"/>
      <c r="G60" s="20"/>
      <c r="H60" s="20"/>
      <c r="I60" s="21"/>
      <c r="J60" s="21"/>
      <c r="M60" s="24"/>
      <c r="N60" s="24"/>
      <c r="O60" s="24"/>
    </row>
    <row r="61" spans="2:21" s="12" customFormat="1" x14ac:dyDescent="0.35">
      <c r="B61" s="19"/>
      <c r="C61" s="20"/>
      <c r="D61" s="20"/>
      <c r="E61" s="20"/>
      <c r="F61" s="20"/>
      <c r="G61" s="20"/>
      <c r="H61" s="20"/>
      <c r="I61" s="21"/>
      <c r="J61" s="21"/>
      <c r="M61" s="24"/>
      <c r="N61" s="24"/>
      <c r="O61" s="24"/>
    </row>
    <row r="62" spans="2:21" s="12" customFormat="1" x14ac:dyDescent="0.35">
      <c r="B62" s="19"/>
      <c r="C62" s="20"/>
      <c r="D62" s="20"/>
      <c r="E62" s="20"/>
      <c r="F62" s="20"/>
      <c r="G62" s="20"/>
      <c r="H62" s="20"/>
      <c r="I62" s="21"/>
      <c r="J62" s="21"/>
      <c r="M62" s="24"/>
      <c r="N62" s="24"/>
      <c r="O62" s="24"/>
    </row>
    <row r="63" spans="2:21" s="13" customFormat="1" x14ac:dyDescent="0.35">
      <c r="B63" s="19" t="s">
        <v>15</v>
      </c>
      <c r="C63" s="20"/>
      <c r="D63" s="20"/>
      <c r="E63" s="20"/>
      <c r="F63" s="20"/>
      <c r="G63" s="20"/>
      <c r="H63" s="20"/>
      <c r="I63" s="21"/>
      <c r="J63" s="21"/>
      <c r="K63" s="12"/>
      <c r="L63" s="12"/>
      <c r="M63" s="24"/>
      <c r="N63" s="24"/>
      <c r="O63" s="24"/>
      <c r="P63" s="12"/>
      <c r="Q63" s="12"/>
      <c r="R63" s="12"/>
      <c r="S63" s="12"/>
      <c r="T63" s="12"/>
      <c r="U63" s="12"/>
    </row>
    <row r="64" spans="2:21" s="12" customFormat="1" x14ac:dyDescent="0.3">
      <c r="B64" s="21"/>
      <c r="C64" s="20"/>
      <c r="D64" s="20"/>
      <c r="E64" s="20"/>
      <c r="F64" s="20"/>
      <c r="G64" s="20"/>
      <c r="H64" s="20"/>
      <c r="I64" s="21"/>
      <c r="J64" s="21"/>
      <c r="K64" s="8"/>
      <c r="L64" s="8"/>
      <c r="M64" s="26" t="s">
        <v>17</v>
      </c>
      <c r="N64" s="26" t="s">
        <v>18</v>
      </c>
      <c r="O64" s="26" t="s">
        <v>14</v>
      </c>
    </row>
    <row r="65" spans="2:15" s="55" customFormat="1" x14ac:dyDescent="0.3">
      <c r="B65" s="41" t="s">
        <v>28</v>
      </c>
      <c r="C65" s="42">
        <v>45382</v>
      </c>
      <c r="D65" s="43">
        <f t="shared" ref="D65:D68" si="18">O65</f>
        <v>46.537942200000003</v>
      </c>
      <c r="E65" s="42">
        <f t="shared" ref="E65:E68" si="19">C65</f>
        <v>45382</v>
      </c>
      <c r="F65" s="42">
        <f t="shared" ref="F65:F68" si="20">E65</f>
        <v>45382</v>
      </c>
      <c r="G65" s="43">
        <f t="shared" ref="G65:G68" si="21">D65</f>
        <v>46.537942200000003</v>
      </c>
      <c r="H65" s="44">
        <v>1</v>
      </c>
      <c r="I65" s="41"/>
      <c r="J65" s="41"/>
      <c r="K65" s="48"/>
      <c r="L65" s="48"/>
      <c r="M65" s="49">
        <f>465379422/10000000</f>
        <v>46.537942200000003</v>
      </c>
      <c r="N65" s="49"/>
      <c r="O65" s="49">
        <f>M65+N65</f>
        <v>46.537942200000003</v>
      </c>
    </row>
    <row r="66" spans="2:15" s="55" customFormat="1" x14ac:dyDescent="0.3">
      <c r="B66" s="41" t="s">
        <v>29</v>
      </c>
      <c r="C66" s="42">
        <v>45382</v>
      </c>
      <c r="D66" s="43">
        <f t="shared" si="18"/>
        <v>82.364997200000005</v>
      </c>
      <c r="E66" s="42">
        <f t="shared" si="19"/>
        <v>45382</v>
      </c>
      <c r="F66" s="42">
        <f t="shared" si="20"/>
        <v>45382</v>
      </c>
      <c r="G66" s="43">
        <f t="shared" si="21"/>
        <v>82.364997200000005</v>
      </c>
      <c r="H66" s="44">
        <v>1</v>
      </c>
      <c r="I66" s="41"/>
      <c r="J66" s="41"/>
      <c r="K66" s="48"/>
      <c r="L66" s="48"/>
      <c r="M66" s="51">
        <f>823649972/10000000</f>
        <v>82.364997200000005</v>
      </c>
      <c r="N66" s="52"/>
      <c r="O66" s="51">
        <f>M66+N66</f>
        <v>82.364997200000005</v>
      </c>
    </row>
    <row r="67" spans="2:15" s="55" customFormat="1" x14ac:dyDescent="0.3">
      <c r="B67" s="41" t="s">
        <v>30</v>
      </c>
      <c r="C67" s="42">
        <v>45382</v>
      </c>
      <c r="D67" s="43">
        <f t="shared" si="18"/>
        <v>276.62511030000002</v>
      </c>
      <c r="E67" s="42">
        <f t="shared" si="19"/>
        <v>45382</v>
      </c>
      <c r="F67" s="42">
        <f t="shared" si="20"/>
        <v>45382</v>
      </c>
      <c r="G67" s="43">
        <f t="shared" si="21"/>
        <v>276.62511030000002</v>
      </c>
      <c r="H67" s="44">
        <v>1</v>
      </c>
      <c r="I67" s="41"/>
      <c r="J67" s="41"/>
      <c r="K67" s="48"/>
      <c r="L67" s="48"/>
      <c r="M67" s="51">
        <f>2766251103/10000000</f>
        <v>276.62511030000002</v>
      </c>
      <c r="N67" s="52"/>
      <c r="O67" s="51">
        <f>M67+N67</f>
        <v>276.62511030000002</v>
      </c>
    </row>
    <row r="68" spans="2:15" s="55" customFormat="1" x14ac:dyDescent="0.3">
      <c r="B68" s="41" t="s">
        <v>31</v>
      </c>
      <c r="C68" s="42">
        <v>45382</v>
      </c>
      <c r="D68" s="43">
        <f t="shared" si="18"/>
        <v>6.3838296999999997</v>
      </c>
      <c r="E68" s="42">
        <f t="shared" si="19"/>
        <v>45382</v>
      </c>
      <c r="F68" s="42">
        <f t="shared" si="20"/>
        <v>45382</v>
      </c>
      <c r="G68" s="43">
        <f t="shared" si="21"/>
        <v>6.3838296999999997</v>
      </c>
      <c r="H68" s="44">
        <v>1</v>
      </c>
      <c r="I68" s="41"/>
      <c r="J68" s="41"/>
      <c r="K68" s="48"/>
      <c r="L68" s="48"/>
      <c r="M68" s="51">
        <f>63838297/10000000</f>
        <v>6.3838296999999997</v>
      </c>
      <c r="N68" s="52"/>
      <c r="O68" s="51">
        <f>M68+N68</f>
        <v>6.3838296999999997</v>
      </c>
    </row>
    <row r="69" spans="2:15" s="55" customFormat="1" x14ac:dyDescent="0.3">
      <c r="B69" s="41"/>
      <c r="C69" s="42"/>
      <c r="D69" s="43"/>
      <c r="E69" s="42"/>
      <c r="F69" s="42"/>
      <c r="G69" s="43"/>
      <c r="H69" s="44"/>
      <c r="I69" s="41"/>
      <c r="J69" s="41"/>
      <c r="K69" s="48"/>
      <c r="L69" s="48"/>
      <c r="M69" s="57"/>
      <c r="O69" s="51">
        <f t="shared" ref="O69:O71" si="22">M69+N69</f>
        <v>0</v>
      </c>
    </row>
    <row r="70" spans="2:15" s="55" customFormat="1" x14ac:dyDescent="0.3">
      <c r="B70" s="58" t="s">
        <v>35</v>
      </c>
      <c r="C70" s="42"/>
      <c r="D70" s="43"/>
      <c r="E70" s="42"/>
      <c r="F70" s="42"/>
      <c r="G70" s="43"/>
      <c r="H70" s="44"/>
      <c r="I70" s="41"/>
      <c r="J70" s="41"/>
      <c r="K70" s="48"/>
      <c r="L70" s="48"/>
      <c r="M70" s="57"/>
      <c r="O70" s="51">
        <f t="shared" si="22"/>
        <v>0</v>
      </c>
    </row>
    <row r="71" spans="2:15" s="55" customFormat="1" x14ac:dyDescent="0.3">
      <c r="B71" s="41" t="s">
        <v>36</v>
      </c>
      <c r="C71" s="42">
        <v>45382</v>
      </c>
      <c r="D71" s="43">
        <f t="shared" ref="D71" si="23">O71</f>
        <v>2.5928767000000001</v>
      </c>
      <c r="E71" s="42">
        <f t="shared" ref="E71" si="24">C71</f>
        <v>45382</v>
      </c>
      <c r="F71" s="42">
        <f t="shared" ref="F71" si="25">E71</f>
        <v>45382</v>
      </c>
      <c r="G71" s="43">
        <f t="shared" ref="G71" si="26">D71</f>
        <v>2.5928767000000001</v>
      </c>
      <c r="H71" s="44">
        <v>1</v>
      </c>
      <c r="I71" s="41"/>
      <c r="J71" s="41"/>
      <c r="M71" s="53">
        <f>25928767/10000000</f>
        <v>2.5928767000000001</v>
      </c>
      <c r="N71" s="54"/>
      <c r="O71" s="51">
        <f t="shared" si="22"/>
        <v>2.5928767000000001</v>
      </c>
    </row>
    <row r="72" spans="2:15" s="12" customFormat="1" x14ac:dyDescent="0.3">
      <c r="B72" s="21"/>
      <c r="C72" s="20"/>
      <c r="D72" s="20"/>
      <c r="E72" s="20"/>
      <c r="F72" s="20"/>
      <c r="G72" s="20"/>
      <c r="H72" s="20"/>
      <c r="I72" s="21"/>
      <c r="J72" s="21"/>
      <c r="M72" s="39">
        <f>SUM(M65:M71)</f>
        <v>414.50475609999995</v>
      </c>
      <c r="N72" s="31"/>
      <c r="O72" s="26">
        <f>M72+N72</f>
        <v>414.50475609999995</v>
      </c>
    </row>
    <row r="73" spans="2:15" s="12" customFormat="1" x14ac:dyDescent="0.35">
      <c r="B73" s="21"/>
      <c r="C73" s="20"/>
      <c r="D73" s="20"/>
      <c r="E73" s="20"/>
      <c r="F73" s="20"/>
      <c r="G73" s="20"/>
      <c r="H73" s="20"/>
      <c r="I73" s="21"/>
      <c r="J73" s="21"/>
      <c r="M73" s="24"/>
      <c r="N73" s="24"/>
      <c r="O73" s="24"/>
    </row>
    <row r="74" spans="2:15" s="12" customFormat="1" x14ac:dyDescent="0.35">
      <c r="B74" s="21" t="s">
        <v>13</v>
      </c>
      <c r="C74" s="20"/>
      <c r="D74" s="20"/>
      <c r="E74" s="20"/>
      <c r="F74" s="20"/>
      <c r="G74" s="20"/>
      <c r="H74" s="20"/>
      <c r="I74" s="21"/>
      <c r="J74" s="21"/>
      <c r="M74" s="24"/>
      <c r="N74" s="24"/>
      <c r="O74" s="24"/>
    </row>
    <row r="75" spans="2:15" s="12" customFormat="1" x14ac:dyDescent="0.35">
      <c r="B75" s="19" t="s">
        <v>14</v>
      </c>
      <c r="C75" s="20"/>
      <c r="D75" s="20"/>
      <c r="E75" s="20"/>
      <c r="F75" s="20"/>
      <c r="G75" s="20"/>
      <c r="H75" s="20"/>
      <c r="I75" s="21"/>
      <c r="J75" s="21"/>
      <c r="M75" s="24"/>
      <c r="N75" s="24"/>
      <c r="O75" s="24"/>
    </row>
    <row r="76" spans="2:15" s="12" customFormat="1" x14ac:dyDescent="0.35">
      <c r="B76" s="19"/>
      <c r="C76" s="20"/>
      <c r="D76" s="20"/>
      <c r="E76" s="20"/>
      <c r="F76" s="20"/>
      <c r="G76" s="20"/>
      <c r="H76" s="20"/>
      <c r="I76" s="21"/>
      <c r="J76" s="21"/>
      <c r="M76" s="24"/>
      <c r="N76" s="24"/>
      <c r="O76" s="24"/>
    </row>
    <row r="80" spans="2:15" x14ac:dyDescent="0.35">
      <c r="B80" s="10"/>
      <c r="C80" s="11"/>
      <c r="D80" s="11"/>
      <c r="E80" s="11"/>
      <c r="F80" s="11"/>
      <c r="G80" s="11"/>
      <c r="H80" s="11"/>
      <c r="I80" s="12"/>
      <c r="J80" s="12"/>
    </row>
    <row r="81" spans="2:15" x14ac:dyDescent="0.35">
      <c r="B81" s="10"/>
      <c r="C81" s="11"/>
      <c r="D81" s="11"/>
      <c r="E81" s="11"/>
      <c r="F81" s="11"/>
      <c r="G81" s="11"/>
      <c r="H81" s="11"/>
      <c r="I81" s="12"/>
      <c r="J81" s="12"/>
    </row>
    <row r="82" spans="2:15" x14ac:dyDescent="0.35">
      <c r="B82" s="13"/>
      <c r="C82" s="11"/>
      <c r="D82" s="11"/>
      <c r="E82" s="11"/>
      <c r="F82" s="11"/>
      <c r="G82" s="11"/>
      <c r="H82" s="11"/>
      <c r="I82" s="12"/>
      <c r="J82" s="12"/>
    </row>
    <row r="83" spans="2:15" ht="15" customHeight="1" x14ac:dyDescent="0.35">
      <c r="B83" s="24"/>
      <c r="C83" s="24"/>
      <c r="D83" s="24"/>
      <c r="E83" s="24"/>
      <c r="F83" s="24"/>
      <c r="G83" s="24"/>
      <c r="H83" s="24"/>
      <c r="I83" s="24"/>
      <c r="J83" s="24"/>
    </row>
    <row r="84" spans="2:15" x14ac:dyDescent="0.35">
      <c r="B84" s="24"/>
      <c r="C84" s="24"/>
      <c r="D84" s="24"/>
      <c r="E84" s="24"/>
      <c r="F84" s="24"/>
      <c r="G84" s="24"/>
      <c r="H84" s="24"/>
      <c r="I84" s="24"/>
      <c r="J84" s="24"/>
    </row>
    <row r="85" spans="2:15" x14ac:dyDescent="0.35">
      <c r="B85" s="24"/>
      <c r="C85" s="24"/>
      <c r="D85" s="24"/>
      <c r="E85" s="24"/>
      <c r="F85" s="24"/>
      <c r="G85" s="24"/>
      <c r="H85" s="24"/>
      <c r="I85" s="24"/>
      <c r="J85" s="24"/>
    </row>
    <row r="86" spans="2:15" x14ac:dyDescent="0.35">
      <c r="B86" s="24"/>
      <c r="C86" s="24"/>
      <c r="D86" s="24"/>
      <c r="E86" s="24"/>
      <c r="F86" s="24"/>
      <c r="G86" s="24"/>
      <c r="H86" s="24"/>
      <c r="I86" s="24"/>
      <c r="J86" s="24"/>
    </row>
    <row r="87" spans="2:15" ht="15" customHeight="1" x14ac:dyDescent="0.35">
      <c r="B87" s="24"/>
      <c r="C87" s="24"/>
      <c r="D87" s="24"/>
      <c r="E87" s="24"/>
      <c r="F87" s="24"/>
      <c r="G87" s="24"/>
      <c r="H87" s="24"/>
      <c r="I87" s="24"/>
      <c r="J87" s="24"/>
    </row>
    <row r="88" spans="2:15" ht="15" customHeight="1" x14ac:dyDescent="0.3">
      <c r="B88" s="24"/>
      <c r="C88" s="24"/>
      <c r="D88" s="24"/>
      <c r="E88" s="24"/>
      <c r="F88" s="24"/>
      <c r="G88" s="24"/>
      <c r="H88" s="24"/>
      <c r="I88" s="24"/>
      <c r="J88" s="24"/>
      <c r="K88" s="8"/>
      <c r="L88" s="8"/>
      <c r="M88" s="26" t="s">
        <v>17</v>
      </c>
      <c r="N88" s="26" t="s">
        <v>18</v>
      </c>
      <c r="O88" s="26" t="s">
        <v>14</v>
      </c>
    </row>
    <row r="89" spans="2:15" ht="15" customHeight="1" x14ac:dyDescent="0.3">
      <c r="B89" s="24"/>
      <c r="C89" s="24"/>
      <c r="D89" s="24"/>
      <c r="E89" s="24"/>
      <c r="F89" s="24"/>
      <c r="G89" s="24"/>
      <c r="H89" s="24"/>
      <c r="I89" s="24"/>
      <c r="J89" s="24"/>
      <c r="K89" s="8"/>
      <c r="L89" s="8"/>
      <c r="M89" s="26">
        <f>14122778492.5789/10000000</f>
        <v>1412.27784925789</v>
      </c>
      <c r="N89" s="26">
        <f>26963073474.75/10000000</f>
        <v>2696.3073474749999</v>
      </c>
      <c r="O89" s="26">
        <f t="shared" ref="O89:O95" si="27">M89+N89</f>
        <v>4108.5851967328899</v>
      </c>
    </row>
    <row r="90" spans="2:15" ht="15" customHeight="1" x14ac:dyDescent="0.3">
      <c r="B90" s="24"/>
      <c r="C90" s="24"/>
      <c r="D90" s="24"/>
      <c r="E90" s="24"/>
      <c r="F90" s="24"/>
      <c r="G90" s="24"/>
      <c r="H90" s="24"/>
      <c r="I90" s="24"/>
      <c r="J90" s="24"/>
      <c r="K90" s="8"/>
      <c r="L90" s="8"/>
      <c r="M90" s="26">
        <f>10335737299/10000000</f>
        <v>1033.5737299</v>
      </c>
      <c r="N90" s="26">
        <f>8981457733/10000000</f>
        <v>898.14577329999997</v>
      </c>
      <c r="O90" s="33">
        <f t="shared" si="27"/>
        <v>1931.7195032</v>
      </c>
    </row>
    <row r="91" spans="2:15" ht="15" customHeight="1" x14ac:dyDescent="0.3">
      <c r="B91" s="24"/>
      <c r="C91" s="24"/>
      <c r="D91" s="24"/>
      <c r="E91" s="24"/>
      <c r="F91" s="24"/>
      <c r="G91" s="24"/>
      <c r="H91" s="24"/>
      <c r="I91" s="24"/>
      <c r="J91" s="24"/>
      <c r="K91" s="8"/>
      <c r="L91" s="8"/>
      <c r="M91" s="39">
        <f>2415481/10000000</f>
        <v>0.24154809999999999</v>
      </c>
      <c r="N91" s="26">
        <f>17491720/10000000</f>
        <v>1.7491719999999999</v>
      </c>
      <c r="O91" s="33">
        <f t="shared" si="27"/>
        <v>1.9907200999999999</v>
      </c>
    </row>
    <row r="92" spans="2:15" ht="15" customHeight="1" x14ac:dyDescent="0.3">
      <c r="B92" s="24"/>
      <c r="C92" s="24"/>
      <c r="D92" s="24"/>
      <c r="E92" s="24"/>
      <c r="F92" s="24"/>
      <c r="G92" s="24"/>
      <c r="H92" s="24"/>
      <c r="I92" s="24"/>
      <c r="J92" s="24"/>
      <c r="K92" s="8"/>
      <c r="L92" s="8"/>
      <c r="M92" s="40">
        <f>52432732/10000000</f>
        <v>5.2432732</v>
      </c>
      <c r="N92" s="26">
        <f>2414696971/10000000</f>
        <v>241.46969709999999</v>
      </c>
      <c r="O92" s="33">
        <f t="shared" si="27"/>
        <v>246.71297029999999</v>
      </c>
    </row>
    <row r="93" spans="2:15" ht="15" customHeight="1" x14ac:dyDescent="0.3">
      <c r="B93" s="24"/>
      <c r="C93" s="24"/>
      <c r="D93" s="24"/>
      <c r="E93" s="24"/>
      <c r="F93" s="24"/>
      <c r="G93" s="24"/>
      <c r="H93" s="24"/>
      <c r="I93" s="24"/>
      <c r="J93" s="24"/>
      <c r="K93" s="8"/>
      <c r="L93" s="8"/>
      <c r="M93" s="39">
        <f>112946304/10000000</f>
        <v>11.294630400000001</v>
      </c>
      <c r="N93" s="26">
        <f>41424049/10000000</f>
        <v>4.1424048999999998</v>
      </c>
      <c r="O93" s="33">
        <f t="shared" si="27"/>
        <v>15.437035300000002</v>
      </c>
    </row>
    <row r="94" spans="2:15" ht="15" customHeight="1" x14ac:dyDescent="0.3">
      <c r="B94" s="24"/>
      <c r="C94" s="24"/>
      <c r="D94" s="24"/>
      <c r="E94" s="24"/>
      <c r="F94" s="24"/>
      <c r="G94" s="24"/>
      <c r="H94" s="24"/>
      <c r="I94" s="24"/>
      <c r="J94" s="24"/>
      <c r="K94" s="8"/>
      <c r="L94" s="8"/>
      <c r="M94" s="39">
        <f>1070422428/10000000</f>
        <v>107.0422428</v>
      </c>
      <c r="N94" s="31">
        <f>(1783018812+1)/10000000</f>
        <v>178.30188129999999</v>
      </c>
      <c r="O94" s="33">
        <f t="shared" si="27"/>
        <v>285.34412409999999</v>
      </c>
    </row>
    <row r="95" spans="2:15" ht="15" customHeight="1" x14ac:dyDescent="0.3">
      <c r="B95" s="24"/>
      <c r="C95" s="24"/>
      <c r="D95" s="24"/>
      <c r="E95" s="24"/>
      <c r="F95" s="24"/>
      <c r="G95" s="24"/>
      <c r="H95" s="24"/>
      <c r="I95" s="24"/>
      <c r="J95" s="24"/>
      <c r="K95" s="8"/>
      <c r="L95" s="8"/>
      <c r="M95" s="26">
        <f>9595796/10000000</f>
        <v>0.95957959999999998</v>
      </c>
      <c r="N95" s="26">
        <f>150022960/10000000</f>
        <v>15.002295999999999</v>
      </c>
      <c r="O95" s="35">
        <f t="shared" si="27"/>
        <v>15.961875599999999</v>
      </c>
    </row>
    <row r="96" spans="2:15" ht="15" customHeight="1" x14ac:dyDescent="0.3">
      <c r="B96" s="24"/>
      <c r="C96" s="24"/>
      <c r="D96" s="24"/>
      <c r="E96" s="24"/>
      <c r="F96" s="24"/>
      <c r="G96" s="24"/>
      <c r="H96" s="24"/>
      <c r="I96" s="24"/>
      <c r="J96" s="24"/>
      <c r="K96" s="8"/>
      <c r="L96" s="8"/>
      <c r="M96" s="27">
        <f>SUM(M89:M95)</f>
        <v>2570.6328532578905</v>
      </c>
      <c r="N96" s="27">
        <f t="shared" ref="N96" si="28">SUM(N89:N95)</f>
        <v>4035.1185720749995</v>
      </c>
      <c r="O96" s="27">
        <f t="shared" ref="O96" si="29">SUM(O89:O95)</f>
        <v>6605.75142533289</v>
      </c>
    </row>
    <row r="97" spans="2:15" ht="15" customHeight="1" x14ac:dyDescent="0.35">
      <c r="B97" s="24"/>
      <c r="C97" s="24"/>
      <c r="D97" s="24"/>
      <c r="E97" s="24"/>
      <c r="F97" s="24"/>
      <c r="G97" s="24"/>
      <c r="H97" s="24"/>
      <c r="I97" s="24"/>
      <c r="J97" s="24"/>
    </row>
    <row r="98" spans="2:15" ht="15" customHeight="1" x14ac:dyDescent="0.35">
      <c r="B98" s="24"/>
      <c r="C98" s="24"/>
      <c r="D98" s="24"/>
      <c r="E98" s="24"/>
      <c r="F98" s="24"/>
      <c r="G98" s="24"/>
      <c r="H98" s="24"/>
      <c r="I98" s="24"/>
      <c r="J98" s="24"/>
    </row>
    <row r="99" spans="2:15" ht="15" customHeight="1" x14ac:dyDescent="0.35">
      <c r="B99" s="24"/>
      <c r="C99" s="24"/>
      <c r="D99" s="24"/>
      <c r="E99" s="24"/>
      <c r="F99" s="24"/>
      <c r="G99" s="24"/>
      <c r="H99" s="24"/>
      <c r="I99" s="24"/>
      <c r="J99" s="24"/>
    </row>
    <row r="100" spans="2:15" ht="15" customHeight="1" x14ac:dyDescent="0.35">
      <c r="B100" s="24"/>
      <c r="C100" s="24"/>
      <c r="D100" s="24"/>
      <c r="E100" s="24"/>
      <c r="F100" s="24"/>
      <c r="G100" s="24"/>
      <c r="H100" s="24"/>
      <c r="I100" s="24"/>
      <c r="J100" s="24"/>
    </row>
    <row r="101" spans="2:15" ht="15" customHeight="1" x14ac:dyDescent="0.35">
      <c r="B101" s="24"/>
      <c r="C101" s="24"/>
      <c r="D101" s="24"/>
      <c r="E101" s="24"/>
      <c r="F101" s="24"/>
      <c r="G101" s="24"/>
      <c r="H101" s="24"/>
      <c r="I101" s="24"/>
      <c r="J101" s="24"/>
    </row>
    <row r="102" spans="2:15" ht="15" customHeight="1" x14ac:dyDescent="0.3">
      <c r="B102" s="24"/>
      <c r="C102" s="24"/>
      <c r="D102" s="24"/>
      <c r="E102" s="24"/>
      <c r="F102" s="24"/>
      <c r="G102" s="24"/>
      <c r="H102" s="24"/>
      <c r="I102" s="24"/>
      <c r="J102" s="24"/>
      <c r="K102" s="8"/>
      <c r="L102" s="8"/>
      <c r="M102" s="26" t="s">
        <v>17</v>
      </c>
      <c r="N102" s="26" t="s">
        <v>18</v>
      </c>
      <c r="O102" s="26" t="s">
        <v>14</v>
      </c>
    </row>
    <row r="103" spans="2:15" ht="15" customHeight="1" x14ac:dyDescent="0.3">
      <c r="B103" s="24"/>
      <c r="C103" s="24"/>
      <c r="D103" s="24"/>
      <c r="E103" s="24"/>
      <c r="F103" s="24"/>
      <c r="G103" s="24"/>
      <c r="H103" s="24"/>
      <c r="I103" s="24"/>
      <c r="J103" s="24"/>
      <c r="K103" s="8"/>
      <c r="L103" s="8"/>
      <c r="M103" s="26">
        <f>549683173/10000000</f>
        <v>54.968317300000002</v>
      </c>
      <c r="N103" s="26"/>
      <c r="O103" s="26">
        <f>M103+N103</f>
        <v>54.968317300000002</v>
      </c>
    </row>
    <row r="104" spans="2:15" ht="15" customHeight="1" x14ac:dyDescent="0.3">
      <c r="B104" s="24"/>
      <c r="C104" s="24"/>
      <c r="D104" s="24"/>
      <c r="E104" s="24"/>
      <c r="F104" s="24"/>
      <c r="G104" s="24"/>
      <c r="H104" s="24"/>
      <c r="I104" s="24"/>
      <c r="J104" s="24"/>
      <c r="K104" s="8"/>
      <c r="L104" s="8"/>
      <c r="M104" s="33">
        <f>42024102/10000000</f>
        <v>4.2024102000000001</v>
      </c>
      <c r="N104" s="34"/>
      <c r="O104" s="33">
        <f>M104+N104</f>
        <v>4.2024102000000001</v>
      </c>
    </row>
    <row r="105" spans="2:15" ht="15" customHeight="1" x14ac:dyDescent="0.3">
      <c r="B105" s="24"/>
      <c r="C105" s="24"/>
      <c r="D105" s="24"/>
      <c r="E105" s="24"/>
      <c r="F105" s="24"/>
      <c r="G105" s="24"/>
      <c r="H105" s="24"/>
      <c r="I105" s="24"/>
      <c r="J105" s="24"/>
      <c r="K105" s="8"/>
      <c r="L105" s="8"/>
      <c r="M105" s="33">
        <f>964158585/10000000</f>
        <v>96.415858499999999</v>
      </c>
      <c r="N105" s="34"/>
      <c r="O105" s="33">
        <f>M105+N105</f>
        <v>96.415858499999999</v>
      </c>
    </row>
    <row r="106" spans="2:15" ht="15" customHeight="1" x14ac:dyDescent="0.3">
      <c r="B106" s="24"/>
      <c r="C106" s="24"/>
      <c r="D106" s="24"/>
      <c r="E106" s="24"/>
      <c r="F106" s="24"/>
      <c r="G106" s="24"/>
      <c r="H106" s="24"/>
      <c r="I106" s="24"/>
      <c r="J106" s="24"/>
      <c r="K106" s="8"/>
      <c r="L106" s="8"/>
      <c r="M106" s="33">
        <f>242158786/10000000</f>
        <v>24.2158786</v>
      </c>
      <c r="N106" s="34"/>
      <c r="O106" s="33">
        <f>M106+N106</f>
        <v>24.2158786</v>
      </c>
    </row>
    <row r="107" spans="2:15" ht="15" customHeight="1" x14ac:dyDescent="0.3">
      <c r="B107" s="24"/>
      <c r="C107" s="24"/>
      <c r="D107" s="24"/>
      <c r="E107" s="24"/>
      <c r="F107" s="24"/>
      <c r="G107" s="24"/>
      <c r="H107" s="24"/>
      <c r="I107" s="24"/>
      <c r="J107" s="24"/>
      <c r="K107" s="8"/>
      <c r="L107" s="8"/>
      <c r="M107" s="23">
        <f>42690908/10000000</f>
        <v>4.2690907999999999</v>
      </c>
      <c r="N107" s="12"/>
      <c r="O107" s="33">
        <f t="shared" ref="O107" si="30">M107+N107</f>
        <v>4.2690907999999999</v>
      </c>
    </row>
    <row r="108" spans="2:15" ht="15" customHeight="1" x14ac:dyDescent="0.3">
      <c r="B108" s="24"/>
      <c r="C108" s="24"/>
      <c r="D108" s="24"/>
      <c r="E108" s="24"/>
      <c r="F108" s="24"/>
      <c r="G108" s="24"/>
      <c r="H108" s="24"/>
      <c r="I108" s="24"/>
      <c r="J108" s="24"/>
      <c r="K108" s="8"/>
      <c r="L108" s="8"/>
      <c r="M108" s="23"/>
      <c r="N108" s="12"/>
      <c r="O108" s="33"/>
    </row>
    <row r="109" spans="2:15" ht="15" customHeight="1" x14ac:dyDescent="0.3">
      <c r="B109" s="24"/>
      <c r="C109" s="24"/>
      <c r="D109" s="24"/>
      <c r="E109" s="24"/>
      <c r="F109" s="24"/>
      <c r="G109" s="24"/>
      <c r="H109" s="24"/>
      <c r="I109" s="24"/>
      <c r="J109" s="24"/>
      <c r="K109" s="12"/>
      <c r="L109" s="12"/>
      <c r="M109" s="35"/>
      <c r="N109" s="36"/>
      <c r="O109" s="33"/>
    </row>
    <row r="110" spans="2:15" ht="15" customHeight="1" x14ac:dyDescent="0.3">
      <c r="B110" s="24"/>
      <c r="C110" s="24"/>
      <c r="D110" s="24"/>
      <c r="E110" s="24"/>
      <c r="F110" s="24"/>
      <c r="G110" s="24"/>
      <c r="H110" s="24"/>
      <c r="I110" s="24"/>
      <c r="J110" s="24"/>
      <c r="K110" s="12"/>
      <c r="L110" s="12"/>
      <c r="M110" s="39">
        <f>SUM(M103:M109)</f>
        <v>184.07155539999999</v>
      </c>
      <c r="N110" s="31"/>
      <c r="O110" s="26">
        <f>M110+N110</f>
        <v>184.07155539999999</v>
      </c>
    </row>
    <row r="111" spans="2:15" ht="15" customHeight="1" x14ac:dyDescent="0.35"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2:15" ht="15" customHeight="1" x14ac:dyDescent="0.35">
      <c r="B112" s="24"/>
      <c r="C112" s="24"/>
      <c r="D112" s="24"/>
      <c r="E112" s="24"/>
      <c r="F112" s="24"/>
      <c r="G112" s="24"/>
      <c r="H112" s="24"/>
      <c r="I112" s="24"/>
      <c r="J112" s="24"/>
    </row>
    <row r="113" spans="2:10" ht="15" customHeight="1" x14ac:dyDescent="0.35"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2:10" ht="15" customHeight="1" x14ac:dyDescent="0.35">
      <c r="B114" s="24"/>
      <c r="C114" s="24"/>
      <c r="D114" s="24"/>
      <c r="E114" s="24"/>
      <c r="F114" s="24"/>
      <c r="G114" s="24"/>
      <c r="H114" s="24"/>
      <c r="I114" s="24"/>
      <c r="J114" s="24"/>
    </row>
    <row r="115" spans="2:10" ht="15" customHeight="1" x14ac:dyDescent="0.35"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2:10" ht="15" customHeight="1" x14ac:dyDescent="0.35"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2:10" ht="15" customHeight="1" x14ac:dyDescent="0.35"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2:10" ht="15" customHeight="1" x14ac:dyDescent="0.35"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2:10" x14ac:dyDescent="0.35"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2:10" x14ac:dyDescent="0.35"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2:10" x14ac:dyDescent="0.35"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2:10" x14ac:dyDescent="0.35"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2:10" x14ac:dyDescent="0.35"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2:10" x14ac:dyDescent="0.35"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2:10" x14ac:dyDescent="0.35"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2:10" x14ac:dyDescent="0.35">
      <c r="B126" s="24"/>
      <c r="C126" s="24"/>
      <c r="D126" s="24"/>
      <c r="E126" s="24"/>
      <c r="F126" s="24"/>
      <c r="G126" s="24"/>
      <c r="H126" s="24"/>
      <c r="I126" s="24"/>
      <c r="J126" s="24"/>
    </row>
    <row r="127" spans="2:10" x14ac:dyDescent="0.35">
      <c r="B127" s="24"/>
      <c r="C127" s="24"/>
      <c r="D127" s="24"/>
      <c r="E127" s="24"/>
      <c r="F127" s="24"/>
      <c r="G127" s="24"/>
      <c r="H127" s="24"/>
      <c r="I127" s="24"/>
      <c r="J127" s="24"/>
    </row>
    <row r="128" spans="2:10" x14ac:dyDescent="0.35">
      <c r="B128" s="24"/>
      <c r="C128" s="24"/>
      <c r="D128" s="24"/>
      <c r="E128" s="24"/>
      <c r="F128" s="24"/>
      <c r="G128" s="24"/>
      <c r="H128" s="24"/>
      <c r="I128" s="24"/>
      <c r="J128" s="24"/>
    </row>
    <row r="129" spans="2:10" x14ac:dyDescent="0.35">
      <c r="B129" s="24"/>
      <c r="C129" s="24"/>
      <c r="D129" s="24"/>
      <c r="E129" s="24"/>
      <c r="F129" s="24"/>
      <c r="G129" s="24"/>
      <c r="H129" s="24"/>
      <c r="I129" s="24"/>
      <c r="J129" s="24"/>
    </row>
    <row r="130" spans="2:10" x14ac:dyDescent="0.35">
      <c r="B130" s="24"/>
      <c r="C130" s="24"/>
      <c r="D130" s="24"/>
      <c r="E130" s="24"/>
      <c r="F130" s="24"/>
      <c r="G130" s="24"/>
      <c r="H130" s="24"/>
      <c r="I130" s="24"/>
      <c r="J130" s="24"/>
    </row>
    <row r="131" spans="2:10" x14ac:dyDescent="0.35">
      <c r="B131" s="24"/>
      <c r="C131" s="24"/>
      <c r="D131" s="24"/>
      <c r="E131" s="24"/>
      <c r="F131" s="24"/>
      <c r="G131" s="24"/>
      <c r="H131" s="24"/>
      <c r="I131" s="24"/>
      <c r="J131" s="24"/>
    </row>
    <row r="132" spans="2:10" x14ac:dyDescent="0.35">
      <c r="B132" s="24"/>
      <c r="C132" s="24"/>
      <c r="D132" s="24"/>
      <c r="E132" s="24"/>
      <c r="F132" s="24"/>
      <c r="G132" s="24"/>
      <c r="H132" s="24"/>
      <c r="I132" s="24"/>
      <c r="J132" s="24"/>
    </row>
    <row r="133" spans="2:10" x14ac:dyDescent="0.35"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2:10" x14ac:dyDescent="0.35">
      <c r="B134" s="24"/>
      <c r="C134" s="24"/>
      <c r="D134" s="24"/>
      <c r="E134" s="24"/>
      <c r="F134" s="24"/>
      <c r="G134" s="24"/>
      <c r="H134" s="24"/>
      <c r="I134" s="24"/>
      <c r="J134" s="24"/>
    </row>
    <row r="135" spans="2:10" x14ac:dyDescent="0.35">
      <c r="B135" s="24"/>
      <c r="C135" s="24"/>
      <c r="D135" s="24"/>
      <c r="E135" s="24"/>
      <c r="F135" s="24"/>
      <c r="G135" s="24"/>
      <c r="H135" s="24"/>
      <c r="I135" s="24"/>
      <c r="J135" s="24"/>
    </row>
    <row r="136" spans="2:10" x14ac:dyDescent="0.35">
      <c r="B136" s="24"/>
      <c r="C136" s="24"/>
      <c r="D136" s="24"/>
      <c r="E136" s="24"/>
      <c r="F136" s="24"/>
      <c r="G136" s="24"/>
      <c r="H136" s="24"/>
      <c r="I136" s="24"/>
      <c r="J136" s="24"/>
    </row>
    <row r="137" spans="2:10" x14ac:dyDescent="0.35"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2:10" x14ac:dyDescent="0.35">
      <c r="B138" s="24"/>
      <c r="C138" s="24"/>
      <c r="D138" s="24"/>
      <c r="E138" s="24"/>
      <c r="F138" s="24"/>
      <c r="G138" s="24"/>
      <c r="H138" s="24"/>
      <c r="I138" s="24"/>
      <c r="J138" s="24"/>
    </row>
    <row r="139" spans="2:10" x14ac:dyDescent="0.35"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2:10" x14ac:dyDescent="0.35">
      <c r="B140" s="24"/>
      <c r="C140" s="24"/>
      <c r="D140" s="24"/>
      <c r="E140" s="24"/>
      <c r="F140" s="24"/>
      <c r="G140" s="24"/>
      <c r="H140" s="24"/>
      <c r="I140" s="24"/>
      <c r="J140" s="24"/>
    </row>
    <row r="141" spans="2:10" x14ac:dyDescent="0.35">
      <c r="B141" s="24"/>
      <c r="C141" s="24"/>
      <c r="D141" s="24"/>
      <c r="E141" s="24"/>
      <c r="F141" s="24"/>
      <c r="G141" s="24"/>
      <c r="H141" s="24"/>
      <c r="I141" s="24"/>
      <c r="J141" s="24"/>
    </row>
    <row r="142" spans="2:10" x14ac:dyDescent="0.35">
      <c r="B142" s="24"/>
      <c r="C142" s="24"/>
      <c r="D142" s="24"/>
      <c r="E142" s="24"/>
      <c r="F142" s="24"/>
      <c r="G142" s="24"/>
      <c r="H142" s="24"/>
      <c r="I142" s="24"/>
      <c r="J142" s="24"/>
    </row>
    <row r="143" spans="2:10" x14ac:dyDescent="0.35">
      <c r="B143" s="24"/>
      <c r="C143" s="24"/>
      <c r="D143" s="24"/>
      <c r="E143" s="24"/>
      <c r="F143" s="24"/>
      <c r="G143" s="24"/>
      <c r="H143" s="24"/>
      <c r="I143" s="24"/>
      <c r="J143" s="24"/>
    </row>
  </sheetData>
  <mergeCells count="10">
    <mergeCell ref="B10:B11"/>
    <mergeCell ref="C10:E10"/>
    <mergeCell ref="F10:H10"/>
    <mergeCell ref="I10:I11"/>
    <mergeCell ref="J10:J11"/>
    <mergeCell ref="B44:B45"/>
    <mergeCell ref="C44:E44"/>
    <mergeCell ref="F44:H44"/>
    <mergeCell ref="I44:I45"/>
    <mergeCell ref="J44:J45"/>
  </mergeCells>
  <pageMargins left="0.75" right="0.75" top="1" bottom="1" header="0.5" footer="0.5"/>
  <pageSetup paperSize="9" scale="4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5FB224D665264C8905D5CB34A14343" ma:contentTypeVersion="14" ma:contentTypeDescription="Create a new document." ma:contentTypeScope="" ma:versionID="2251247af9402d8e4558462d3b00619c">
  <xsd:schema xmlns:xsd="http://www.w3.org/2001/XMLSchema" xmlns:xs="http://www.w3.org/2001/XMLSchema" xmlns:p="http://schemas.microsoft.com/office/2006/metadata/properties" xmlns:ns3="571bba9c-49d2-402f-a57d-abab692d7c5a" xmlns:ns4="d2188457-7e9b-44e4-bef2-1f53ca2e8314" targetNamespace="http://schemas.microsoft.com/office/2006/metadata/properties" ma:root="true" ma:fieldsID="642f287dfaeecd4affdb2b1df16dc0a6" ns3:_="" ns4:_="">
    <xsd:import namespace="571bba9c-49d2-402f-a57d-abab692d7c5a"/>
    <xsd:import namespace="d2188457-7e9b-44e4-bef2-1f53ca2e83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bba9c-49d2-402f-a57d-abab692d7c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88457-7e9b-44e4-bef2-1f53ca2e83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B0D411-4145-4622-8FF9-AE8E32C6B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bba9c-49d2-402f-a57d-abab692d7c5a"/>
    <ds:schemaRef ds:uri="d2188457-7e9b-44e4-bef2-1f53ca2e83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D3B9E-1CBB-4333-AC61-BB1BAC3D7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4DED1-FCCF-4DC0-84C2-EEE4A384519C}">
  <ds:schemaRefs>
    <ds:schemaRef ds:uri="http://purl.org/dc/dcmitype/"/>
    <ds:schemaRef ds:uri="http://schemas.microsoft.com/office/2006/documentManagement/types"/>
    <ds:schemaRef ds:uri="d2188457-7e9b-44e4-bef2-1f53ca2e8314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571bba9c-49d2-402f-a57d-abab692d7c5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F16</vt:lpstr>
      <vt:lpstr>'F16'!Print_Area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RUPALI UFADE</dc:creator>
  <cp:lastModifiedBy>A.V. Patkare</cp:lastModifiedBy>
  <dcterms:created xsi:type="dcterms:W3CDTF">2022-11-16T10:42:11Z</dcterms:created>
  <dcterms:modified xsi:type="dcterms:W3CDTF">2024-11-21T13:42:31Z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0x010100B55FB224D665264C8905D5CB34A14343</vt:lpwstr>
  </property>
</Properties>
</file>